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240" yWindow="330" windowWidth="20730" windowHeight="9630"/>
  </bookViews>
  <sheets>
    <sheet name="Project Info" sheetId="2" r:id="rId1"/>
    <sheet name="BMP #1" sheetId="4" r:id="rId2"/>
    <sheet name="Orifice #1" sheetId="1" r:id="rId3"/>
    <sheet name="Rain Gauge Map" sheetId="3" r:id="rId4"/>
    <sheet name="Sizing Factors" sheetId="5" r:id="rId5"/>
  </sheets>
  <definedNames>
    <definedName name="_Toc300565356" localSheetId="2">'Orifice #1'!$C$59</definedName>
    <definedName name="_xlnm.Print_Area" localSheetId="1">'BMP #1'!$C$2:$N$38</definedName>
    <definedName name="_xlnm.Print_Area" localSheetId="2">'Orifice #1'!$B$2:$L$38</definedName>
    <definedName name="_xlnm.Print_Area" localSheetId="0">'Project Info'!$B$2:$C$10</definedName>
  </definedNames>
  <calcPr calcId="145621"/>
</workbook>
</file>

<file path=xl/calcChain.xml><?xml version="1.0" encoding="utf-8"?>
<calcChain xmlns="http://schemas.openxmlformats.org/spreadsheetml/2006/main">
  <c r="M28" i="4" l="1"/>
  <c r="N28" i="4" l="1"/>
  <c r="H18" i="1" l="1"/>
  <c r="H19" i="1"/>
  <c r="H20" i="1"/>
  <c r="H21" i="1"/>
  <c r="H22" i="1"/>
  <c r="G7" i="1" l="1"/>
  <c r="J33" i="1" l="1"/>
  <c r="I33" i="1" s="1"/>
  <c r="M31" i="4" s="1"/>
  <c r="G8" i="4" l="1"/>
  <c r="B22" i="1" l="1"/>
  <c r="B23" i="1"/>
  <c r="B24" i="1"/>
  <c r="B25" i="1"/>
  <c r="B26" i="1"/>
  <c r="B27" i="1"/>
  <c r="B18" i="1"/>
  <c r="C18" i="1"/>
  <c r="A18" i="1" s="1"/>
  <c r="G18" i="1" s="1"/>
  <c r="B19" i="1"/>
  <c r="C19" i="1"/>
  <c r="A19" i="1" s="1"/>
  <c r="G19" i="1" s="1"/>
  <c r="B20" i="1"/>
  <c r="C20" i="1"/>
  <c r="A20" i="1" s="1"/>
  <c r="G20" i="1" s="1"/>
  <c r="B21" i="1"/>
  <c r="C21" i="1"/>
  <c r="A21" i="1" s="1"/>
  <c r="G21" i="1" s="1"/>
  <c r="C22" i="1"/>
  <c r="A22" i="1" s="1"/>
  <c r="G22" i="1" s="1"/>
  <c r="H23" i="1"/>
  <c r="C23" i="1" s="1"/>
  <c r="H24" i="1"/>
  <c r="C24" i="1" s="1"/>
  <c r="H25" i="1"/>
  <c r="C25" i="1" s="1"/>
  <c r="H26" i="1"/>
  <c r="C26" i="1" s="1"/>
  <c r="H27" i="1"/>
  <c r="C27" i="1" s="1"/>
  <c r="D7" i="1" l="1"/>
  <c r="A5" i="1"/>
  <c r="G6" i="1"/>
  <c r="D6" i="1"/>
  <c r="G5" i="1"/>
  <c r="D5" i="1"/>
  <c r="G4" i="1"/>
  <c r="D4" i="1"/>
  <c r="G3" i="1"/>
  <c r="D3" i="1"/>
  <c r="C2" i="1"/>
  <c r="A111" i="1"/>
  <c r="B14" i="1"/>
  <c r="B15" i="1"/>
  <c r="B16" i="1"/>
  <c r="B17" i="1"/>
  <c r="B13" i="1"/>
  <c r="G5" i="4" l="1"/>
  <c r="D27" i="4"/>
  <c r="G3" i="4"/>
  <c r="D6" i="4"/>
  <c r="D5" i="4"/>
  <c r="D4" i="4"/>
  <c r="D3" i="4"/>
  <c r="C2" i="4"/>
  <c r="A5" i="4" l="1"/>
  <c r="K37" i="1" s="1"/>
  <c r="K33" i="4" l="1"/>
  <c r="K29" i="4"/>
  <c r="L29" i="4"/>
  <c r="K32" i="4"/>
  <c r="K31" i="4"/>
  <c r="K30" i="4"/>
  <c r="N33" i="4"/>
  <c r="L32" i="4"/>
  <c r="L30" i="4"/>
  <c r="I11" i="4"/>
  <c r="L33" i="4"/>
  <c r="L31" i="4"/>
  <c r="J11" i="4"/>
  <c r="N11" i="4"/>
  <c r="L11" i="4"/>
  <c r="K11" i="4"/>
  <c r="M11" i="4"/>
  <c r="A95" i="1"/>
  <c r="A78" i="1"/>
  <c r="A506" i="5" l="1"/>
  <c r="A507" i="5"/>
  <c r="A508" i="5"/>
  <c r="A509" i="5"/>
  <c r="A510" i="5"/>
  <c r="A511" i="5"/>
  <c r="A512" i="5"/>
  <c r="A513" i="5"/>
  <c r="A514" i="5"/>
  <c r="A515" i="5"/>
  <c r="A516" i="5"/>
  <c r="A517" i="5"/>
  <c r="A518" i="5"/>
  <c r="A519" i="5"/>
  <c r="A520" i="5"/>
  <c r="A521" i="5"/>
  <c r="A522" i="5"/>
  <c r="A523" i="5"/>
  <c r="A524" i="5"/>
  <c r="A525" i="5"/>
  <c r="A526" i="5"/>
  <c r="A527" i="5"/>
  <c r="A528" i="5"/>
  <c r="A529" i="5"/>
  <c r="A530" i="5"/>
  <c r="A531" i="5"/>
  <c r="A532" i="5"/>
  <c r="A533" i="5"/>
  <c r="A534" i="5"/>
  <c r="A535" i="5"/>
  <c r="A536" i="5"/>
  <c r="A537" i="5"/>
  <c r="A538" i="5"/>
  <c r="A539" i="5"/>
  <c r="A540" i="5"/>
  <c r="A541" i="5"/>
  <c r="A542" i="5"/>
  <c r="A543" i="5"/>
  <c r="A544" i="5"/>
  <c r="A545" i="5"/>
  <c r="A546" i="5"/>
  <c r="A547" i="5"/>
  <c r="A548" i="5"/>
  <c r="A549" i="5"/>
  <c r="A550" i="5"/>
  <c r="A551" i="5"/>
  <c r="A552" i="5"/>
  <c r="A553" i="5"/>
  <c r="A554" i="5"/>
  <c r="A555" i="5"/>
  <c r="A556" i="5"/>
  <c r="A557" i="5"/>
  <c r="A558" i="5"/>
  <c r="A559" i="5"/>
  <c r="A560" i="5"/>
  <c r="A561" i="5"/>
  <c r="A562" i="5"/>
  <c r="A563" i="5"/>
  <c r="A564" i="5"/>
  <c r="A565" i="5"/>
  <c r="A566" i="5"/>
  <c r="A567" i="5"/>
  <c r="A568" i="5"/>
  <c r="A569" i="5"/>
  <c r="A570" i="5"/>
  <c r="A571" i="5"/>
  <c r="A572" i="5"/>
  <c r="A573" i="5"/>
  <c r="A574" i="5"/>
  <c r="A575" i="5"/>
  <c r="A576" i="5"/>
  <c r="A577" i="5"/>
  <c r="A578" i="5"/>
  <c r="A579" i="5"/>
  <c r="A580" i="5"/>
  <c r="A581" i="5"/>
  <c r="A582" i="5"/>
  <c r="A583" i="5"/>
  <c r="A584" i="5"/>
  <c r="A585" i="5"/>
  <c r="A586" i="5"/>
  <c r="A587" i="5"/>
  <c r="A588" i="5"/>
  <c r="A589" i="5"/>
  <c r="A590" i="5"/>
  <c r="A591" i="5"/>
  <c r="A592" i="5"/>
  <c r="A593" i="5"/>
  <c r="A594" i="5"/>
  <c r="A595" i="5"/>
  <c r="A596" i="5"/>
  <c r="A597" i="5"/>
  <c r="A598" i="5"/>
  <c r="A599" i="5"/>
  <c r="A600" i="5"/>
  <c r="A601" i="5"/>
  <c r="A602" i="5"/>
  <c r="A603" i="5"/>
  <c r="A604" i="5"/>
  <c r="A605" i="5"/>
  <c r="A606" i="5"/>
  <c r="A607" i="5"/>
  <c r="A608" i="5"/>
  <c r="A609" i="5"/>
  <c r="A610" i="5"/>
  <c r="A611" i="5"/>
  <c r="A612" i="5"/>
  <c r="A505" i="5"/>
  <c r="A395" i="5"/>
  <c r="A396" i="5"/>
  <c r="A397" i="5"/>
  <c r="A398" i="5"/>
  <c r="A399" i="5"/>
  <c r="A400" i="5"/>
  <c r="A401" i="5"/>
  <c r="A402" i="5"/>
  <c r="A403" i="5"/>
  <c r="A404" i="5"/>
  <c r="A405" i="5"/>
  <c r="A406" i="5"/>
  <c r="A407" i="5"/>
  <c r="A408" i="5"/>
  <c r="A409" i="5"/>
  <c r="A410" i="5"/>
  <c r="A411" i="5"/>
  <c r="A412" i="5"/>
  <c r="A413" i="5"/>
  <c r="A414" i="5"/>
  <c r="A415" i="5"/>
  <c r="A416" i="5"/>
  <c r="A417" i="5"/>
  <c r="A418" i="5"/>
  <c r="A419" i="5"/>
  <c r="A420" i="5"/>
  <c r="A421" i="5"/>
  <c r="A422" i="5"/>
  <c r="A423" i="5"/>
  <c r="A424" i="5"/>
  <c r="A425" i="5"/>
  <c r="A426" i="5"/>
  <c r="A427" i="5"/>
  <c r="A428" i="5"/>
  <c r="A429" i="5"/>
  <c r="A430" i="5"/>
  <c r="A431" i="5"/>
  <c r="A432" i="5"/>
  <c r="A433" i="5"/>
  <c r="A434" i="5"/>
  <c r="A435" i="5"/>
  <c r="A436" i="5"/>
  <c r="A437" i="5"/>
  <c r="A438" i="5"/>
  <c r="A439" i="5"/>
  <c r="A440" i="5"/>
  <c r="A441" i="5"/>
  <c r="A442" i="5"/>
  <c r="A443" i="5"/>
  <c r="A444" i="5"/>
  <c r="A445" i="5"/>
  <c r="A446" i="5"/>
  <c r="A447" i="5"/>
  <c r="A448" i="5"/>
  <c r="A449" i="5"/>
  <c r="A450" i="5"/>
  <c r="A451" i="5"/>
  <c r="A452" i="5"/>
  <c r="A453" i="5"/>
  <c r="A454" i="5"/>
  <c r="A455" i="5"/>
  <c r="A456" i="5"/>
  <c r="A457" i="5"/>
  <c r="A458" i="5"/>
  <c r="A459" i="5"/>
  <c r="A460" i="5"/>
  <c r="A461" i="5"/>
  <c r="A462" i="5"/>
  <c r="A463" i="5"/>
  <c r="A464" i="5"/>
  <c r="A465" i="5"/>
  <c r="A466" i="5"/>
  <c r="A467" i="5"/>
  <c r="A468" i="5"/>
  <c r="A469" i="5"/>
  <c r="A470" i="5"/>
  <c r="A471" i="5"/>
  <c r="A472" i="5"/>
  <c r="A473" i="5"/>
  <c r="A474" i="5"/>
  <c r="A475" i="5"/>
  <c r="A476" i="5"/>
  <c r="A477" i="5"/>
  <c r="A478" i="5"/>
  <c r="A479" i="5"/>
  <c r="A480" i="5"/>
  <c r="A481" i="5"/>
  <c r="A482" i="5"/>
  <c r="A483" i="5"/>
  <c r="A484" i="5"/>
  <c r="A485" i="5"/>
  <c r="A486" i="5"/>
  <c r="A487" i="5"/>
  <c r="A488" i="5"/>
  <c r="A489" i="5"/>
  <c r="A490" i="5"/>
  <c r="A491" i="5"/>
  <c r="A492" i="5"/>
  <c r="A493" i="5"/>
  <c r="A494" i="5"/>
  <c r="A495" i="5"/>
  <c r="A496" i="5"/>
  <c r="A497" i="5"/>
  <c r="A498" i="5"/>
  <c r="A499" i="5"/>
  <c r="A500" i="5"/>
  <c r="A501" i="5"/>
  <c r="A394" i="5"/>
  <c r="A283" i="5"/>
  <c r="A284" i="5"/>
  <c r="A285" i="5"/>
  <c r="A286" i="5"/>
  <c r="A287" i="5"/>
  <c r="A288" i="5"/>
  <c r="A289" i="5"/>
  <c r="A290" i="5"/>
  <c r="A291" i="5"/>
  <c r="A292" i="5"/>
  <c r="A293" i="5"/>
  <c r="A294" i="5"/>
  <c r="A295" i="5"/>
  <c r="A296" i="5"/>
  <c r="A297" i="5"/>
  <c r="A298" i="5"/>
  <c r="A299" i="5"/>
  <c r="A300" i="5"/>
  <c r="A301" i="5"/>
  <c r="A302" i="5"/>
  <c r="A303" i="5"/>
  <c r="A304" i="5"/>
  <c r="A305" i="5"/>
  <c r="A306" i="5"/>
  <c r="A307" i="5"/>
  <c r="A308" i="5"/>
  <c r="A309" i="5"/>
  <c r="A310" i="5"/>
  <c r="A311" i="5"/>
  <c r="A312" i="5"/>
  <c r="A313" i="5"/>
  <c r="A314" i="5"/>
  <c r="A315" i="5"/>
  <c r="A316" i="5"/>
  <c r="A317" i="5"/>
  <c r="A318" i="5"/>
  <c r="A319" i="5"/>
  <c r="A320" i="5"/>
  <c r="A321" i="5"/>
  <c r="A322" i="5"/>
  <c r="A323" i="5"/>
  <c r="A324" i="5"/>
  <c r="A325" i="5"/>
  <c r="A326" i="5"/>
  <c r="A327" i="5"/>
  <c r="A328" i="5"/>
  <c r="A329" i="5"/>
  <c r="A330" i="5"/>
  <c r="A331" i="5"/>
  <c r="A332" i="5"/>
  <c r="A333" i="5"/>
  <c r="A334" i="5"/>
  <c r="A335" i="5"/>
  <c r="A336" i="5"/>
  <c r="A337" i="5"/>
  <c r="A338" i="5"/>
  <c r="A339" i="5"/>
  <c r="A340" i="5"/>
  <c r="A341" i="5"/>
  <c r="A342" i="5"/>
  <c r="A343" i="5"/>
  <c r="A344" i="5"/>
  <c r="A345" i="5"/>
  <c r="A346" i="5"/>
  <c r="A347" i="5"/>
  <c r="A348" i="5"/>
  <c r="A349" i="5"/>
  <c r="A350" i="5"/>
  <c r="A351" i="5"/>
  <c r="A352" i="5"/>
  <c r="A353" i="5"/>
  <c r="A354" i="5"/>
  <c r="A355" i="5"/>
  <c r="A356" i="5"/>
  <c r="A357" i="5"/>
  <c r="A358" i="5"/>
  <c r="A359" i="5"/>
  <c r="A360" i="5"/>
  <c r="A361" i="5"/>
  <c r="A362" i="5"/>
  <c r="A363" i="5"/>
  <c r="A364" i="5"/>
  <c r="A365" i="5"/>
  <c r="A366" i="5"/>
  <c r="A367" i="5"/>
  <c r="A368" i="5"/>
  <c r="A369" i="5"/>
  <c r="A370" i="5"/>
  <c r="A371" i="5"/>
  <c r="A372" i="5"/>
  <c r="A373" i="5"/>
  <c r="A374" i="5"/>
  <c r="A375" i="5"/>
  <c r="A376" i="5"/>
  <c r="A377" i="5"/>
  <c r="A378" i="5"/>
  <c r="A379" i="5"/>
  <c r="A380" i="5"/>
  <c r="A381" i="5"/>
  <c r="A382" i="5"/>
  <c r="A383" i="5"/>
  <c r="A384" i="5"/>
  <c r="A385" i="5"/>
  <c r="A386" i="5"/>
  <c r="A387" i="5"/>
  <c r="A388" i="5"/>
  <c r="A389" i="5"/>
  <c r="A282" i="5"/>
  <c r="A171" i="5"/>
  <c r="A172" i="5"/>
  <c r="A173" i="5"/>
  <c r="A174" i="5"/>
  <c r="A175" i="5"/>
  <c r="A176" i="5"/>
  <c r="A177" i="5"/>
  <c r="A178" i="5"/>
  <c r="A179" i="5"/>
  <c r="A180" i="5"/>
  <c r="A181" i="5"/>
  <c r="A182" i="5"/>
  <c r="A183" i="5"/>
  <c r="A184" i="5"/>
  <c r="A185" i="5"/>
  <c r="A186" i="5"/>
  <c r="A187" i="5"/>
  <c r="A188" i="5"/>
  <c r="A189" i="5"/>
  <c r="A190" i="5"/>
  <c r="A191" i="5"/>
  <c r="A192" i="5"/>
  <c r="A193" i="5"/>
  <c r="A194" i="5"/>
  <c r="A195" i="5"/>
  <c r="A196" i="5"/>
  <c r="A197" i="5"/>
  <c r="A198" i="5"/>
  <c r="A199" i="5"/>
  <c r="A200" i="5"/>
  <c r="A201" i="5"/>
  <c r="A202" i="5"/>
  <c r="A203" i="5"/>
  <c r="A204" i="5"/>
  <c r="A205" i="5"/>
  <c r="A206" i="5"/>
  <c r="A207" i="5"/>
  <c r="A208" i="5"/>
  <c r="A209" i="5"/>
  <c r="A210" i="5"/>
  <c r="A211" i="5"/>
  <c r="A212" i="5"/>
  <c r="A213" i="5"/>
  <c r="A214" i="5"/>
  <c r="A215" i="5"/>
  <c r="A216" i="5"/>
  <c r="A217" i="5"/>
  <c r="A218" i="5"/>
  <c r="A219" i="5"/>
  <c r="A220" i="5"/>
  <c r="A221" i="5"/>
  <c r="A222" i="5"/>
  <c r="A223" i="5"/>
  <c r="A224" i="5"/>
  <c r="A225" i="5"/>
  <c r="A226" i="5"/>
  <c r="A227" i="5"/>
  <c r="A228" i="5"/>
  <c r="A229" i="5"/>
  <c r="A230" i="5"/>
  <c r="A231" i="5"/>
  <c r="A232" i="5"/>
  <c r="A233" i="5"/>
  <c r="A234" i="5"/>
  <c r="A235" i="5"/>
  <c r="A236" i="5"/>
  <c r="A237" i="5"/>
  <c r="A238" i="5"/>
  <c r="A239" i="5"/>
  <c r="A240" i="5"/>
  <c r="A241" i="5"/>
  <c r="A242" i="5"/>
  <c r="A243" i="5"/>
  <c r="A244" i="5"/>
  <c r="A245" i="5"/>
  <c r="A246" i="5"/>
  <c r="A247" i="5"/>
  <c r="A248" i="5"/>
  <c r="A249" i="5"/>
  <c r="A250" i="5"/>
  <c r="A251" i="5"/>
  <c r="A252" i="5"/>
  <c r="A253" i="5"/>
  <c r="A254" i="5"/>
  <c r="A255" i="5"/>
  <c r="A256" i="5"/>
  <c r="A257" i="5"/>
  <c r="A258" i="5"/>
  <c r="A259" i="5"/>
  <c r="A260" i="5"/>
  <c r="A261" i="5"/>
  <c r="A262" i="5"/>
  <c r="A263" i="5"/>
  <c r="A264" i="5"/>
  <c r="A265" i="5"/>
  <c r="A266" i="5"/>
  <c r="A267" i="5"/>
  <c r="A268" i="5"/>
  <c r="A269" i="5"/>
  <c r="A270" i="5"/>
  <c r="A271" i="5"/>
  <c r="A272" i="5"/>
  <c r="A273" i="5"/>
  <c r="A274" i="5"/>
  <c r="A275" i="5"/>
  <c r="A276" i="5"/>
  <c r="A277" i="5"/>
  <c r="A170"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153" i="5"/>
  <c r="A154" i="5"/>
  <c r="A155" i="5"/>
  <c r="A156" i="5"/>
  <c r="A157" i="5"/>
  <c r="A158" i="5"/>
  <c r="A159" i="5"/>
  <c r="A160" i="5"/>
  <c r="A161" i="5"/>
  <c r="A162" i="5"/>
  <c r="A163" i="5"/>
  <c r="A164" i="5"/>
  <c r="A165" i="5"/>
  <c r="A166" i="5"/>
  <c r="A59" i="5"/>
  <c r="P10" i="1"/>
  <c r="M10" i="1"/>
  <c r="P9" i="1"/>
  <c r="A55" i="5"/>
  <c r="A63" i="1"/>
  <c r="A64" i="1"/>
  <c r="A65" i="1"/>
  <c r="A66" i="1"/>
  <c r="A67" i="1"/>
  <c r="A68" i="1"/>
  <c r="A69" i="1"/>
  <c r="A70" i="1"/>
  <c r="A71" i="1"/>
  <c r="A72" i="1"/>
  <c r="A73" i="1"/>
  <c r="A74" i="1"/>
  <c r="A75" i="1"/>
  <c r="A76" i="1"/>
  <c r="A77" i="1"/>
  <c r="A79" i="1"/>
  <c r="A80" i="1"/>
  <c r="A81" i="1"/>
  <c r="A82" i="1"/>
  <c r="A83" i="1"/>
  <c r="A84" i="1"/>
  <c r="A85" i="1"/>
  <c r="A86" i="1"/>
  <c r="A87" i="1"/>
  <c r="A88" i="1"/>
  <c r="A89" i="1"/>
  <c r="A90" i="1"/>
  <c r="A91" i="1"/>
  <c r="A92" i="1"/>
  <c r="A93" i="1"/>
  <c r="A94" i="1"/>
  <c r="A96" i="1"/>
  <c r="A97" i="1"/>
  <c r="A98" i="1"/>
  <c r="A99" i="1"/>
  <c r="A100" i="1"/>
  <c r="A101" i="1"/>
  <c r="A102" i="1"/>
  <c r="A103" i="1"/>
  <c r="A104" i="1"/>
  <c r="A105" i="1"/>
  <c r="A106" i="1"/>
  <c r="A107" i="1"/>
  <c r="A108" i="1"/>
  <c r="A109" i="1"/>
  <c r="A110" i="1"/>
  <c r="A112" i="1"/>
  <c r="A62" i="1"/>
  <c r="H14" i="1"/>
  <c r="H15" i="1"/>
  <c r="H16" i="1"/>
  <c r="H17" i="1"/>
  <c r="H13" i="1"/>
  <c r="I18" i="1" l="1"/>
  <c r="J18" i="1" s="1"/>
  <c r="I21" i="1"/>
  <c r="J21" i="1" s="1"/>
  <c r="I20" i="1"/>
  <c r="J20" i="1" s="1"/>
  <c r="I22" i="1"/>
  <c r="J22" i="1" s="1"/>
  <c r="I19" i="1"/>
  <c r="J19" i="1" s="1"/>
  <c r="C16" i="1"/>
  <c r="A16" i="1" s="1"/>
  <c r="G16" i="1" s="1"/>
  <c r="I16" i="1" s="1"/>
  <c r="J16" i="1" s="1"/>
  <c r="C14" i="1"/>
  <c r="A14" i="1" s="1"/>
  <c r="G14" i="1" s="1"/>
  <c r="I14" i="1" s="1"/>
  <c r="J14" i="1" s="1"/>
  <c r="A26" i="1"/>
  <c r="G26" i="1" s="1"/>
  <c r="I26" i="1" s="1"/>
  <c r="J26" i="1" s="1"/>
  <c r="A25" i="1"/>
  <c r="G25" i="1" s="1"/>
  <c r="I25" i="1" s="1"/>
  <c r="J25" i="1" s="1"/>
  <c r="A24" i="1"/>
  <c r="G24" i="1" s="1"/>
  <c r="I24" i="1" s="1"/>
  <c r="J24" i="1" s="1"/>
  <c r="A23" i="1"/>
  <c r="G23" i="1" s="1"/>
  <c r="I23" i="1" s="1"/>
  <c r="J23" i="1" s="1"/>
  <c r="C17" i="1"/>
  <c r="A17" i="1" s="1"/>
  <c r="G17" i="1" s="1"/>
  <c r="I17" i="1" s="1"/>
  <c r="J17" i="1" s="1"/>
  <c r="C13" i="1"/>
  <c r="A13" i="1" s="1"/>
  <c r="G13" i="1" s="1"/>
  <c r="I13" i="1" s="1"/>
  <c r="C15" i="1"/>
  <c r="A15" i="1" s="1"/>
  <c r="A27" i="1"/>
  <c r="G27" i="1" s="1"/>
  <c r="I27" i="1" s="1"/>
  <c r="J27" i="1" s="1"/>
  <c r="G6" i="4"/>
  <c r="G4" i="4"/>
  <c r="G15" i="1" l="1"/>
  <c r="I15" i="1" s="1"/>
  <c r="J15" i="1" s="1"/>
  <c r="A21" i="4"/>
  <c r="A20" i="4"/>
  <c r="A19" i="4"/>
  <c r="A18" i="4"/>
  <c r="A17" i="4"/>
  <c r="J13" i="1"/>
  <c r="A12" i="4"/>
  <c r="I12" i="4" s="1"/>
  <c r="A26" i="4"/>
  <c r="A23" i="4"/>
  <c r="A24" i="4"/>
  <c r="A14" i="4"/>
  <c r="A16" i="4"/>
  <c r="A15" i="4"/>
  <c r="A22" i="4"/>
  <c r="A25" i="4"/>
  <c r="A13" i="4"/>
  <c r="I19" i="4" l="1"/>
  <c r="L19" i="4" s="1"/>
  <c r="K19" i="4"/>
  <c r="N19" i="4" s="1"/>
  <c r="J19" i="4"/>
  <c r="M19" i="4" s="1"/>
  <c r="I20" i="4"/>
  <c r="L20" i="4" s="1"/>
  <c r="K20" i="4"/>
  <c r="N20" i="4" s="1"/>
  <c r="J20" i="4"/>
  <c r="M20" i="4" s="1"/>
  <c r="J21" i="4"/>
  <c r="M21" i="4" s="1"/>
  <c r="K21" i="4"/>
  <c r="N21" i="4" s="1"/>
  <c r="I21" i="4"/>
  <c r="L21" i="4" s="1"/>
  <c r="K17" i="4"/>
  <c r="N17" i="4" s="1"/>
  <c r="I17" i="4"/>
  <c r="L17" i="4" s="1"/>
  <c r="J17" i="4"/>
  <c r="M17" i="4" s="1"/>
  <c r="I18" i="4"/>
  <c r="L18" i="4" s="1"/>
  <c r="J18" i="4"/>
  <c r="M18" i="4" s="1"/>
  <c r="K18" i="4"/>
  <c r="N18" i="4" s="1"/>
  <c r="I29" i="1"/>
  <c r="J29" i="1" s="1"/>
  <c r="J16" i="4"/>
  <c r="M16" i="4" s="1"/>
  <c r="K16" i="4"/>
  <c r="N16" i="4" s="1"/>
  <c r="I16" i="4"/>
  <c r="L16" i="4" s="1"/>
  <c r="K24" i="4"/>
  <c r="N24" i="4" s="1"/>
  <c r="I24" i="4"/>
  <c r="L24" i="4" s="1"/>
  <c r="J24" i="4"/>
  <c r="M24" i="4" s="1"/>
  <c r="J12" i="4"/>
  <c r="M12" i="4" s="1"/>
  <c r="L12" i="4"/>
  <c r="K12" i="4"/>
  <c r="N12" i="4" s="1"/>
  <c r="I13" i="4"/>
  <c r="L13" i="4" s="1"/>
  <c r="K13" i="4"/>
  <c r="N13" i="4" s="1"/>
  <c r="J13" i="4"/>
  <c r="M13" i="4" s="1"/>
  <c r="K23" i="4"/>
  <c r="N23" i="4" s="1"/>
  <c r="I23" i="4"/>
  <c r="L23" i="4" s="1"/>
  <c r="J23" i="4"/>
  <c r="M23" i="4" s="1"/>
  <c r="K25" i="4"/>
  <c r="N25" i="4" s="1"/>
  <c r="J25" i="4"/>
  <c r="M25" i="4" s="1"/>
  <c r="I25" i="4"/>
  <c r="L25" i="4" s="1"/>
  <c r="J22" i="4"/>
  <c r="M22" i="4" s="1"/>
  <c r="K22" i="4"/>
  <c r="N22" i="4" s="1"/>
  <c r="I22" i="4"/>
  <c r="L22" i="4" s="1"/>
  <c r="I15" i="4"/>
  <c r="L15" i="4" s="1"/>
  <c r="K15" i="4"/>
  <c r="N15" i="4" s="1"/>
  <c r="J15" i="4"/>
  <c r="M15" i="4" s="1"/>
  <c r="J14" i="4"/>
  <c r="M14" i="4" s="1"/>
  <c r="I14" i="4"/>
  <c r="L14" i="4" s="1"/>
  <c r="K14" i="4"/>
  <c r="N14" i="4" s="1"/>
  <c r="K26" i="4"/>
  <c r="N26" i="4" s="1"/>
  <c r="J26" i="4"/>
  <c r="M26" i="4" s="1"/>
  <c r="I26" i="4"/>
  <c r="L26" i="4" s="1"/>
  <c r="K29" i="1" l="1"/>
  <c r="M27" i="4"/>
  <c r="M30" i="4" s="1"/>
  <c r="L27" i="4"/>
  <c r="N27" i="4"/>
</calcChain>
</file>

<file path=xl/comments1.xml><?xml version="1.0" encoding="utf-8"?>
<comments xmlns="http://schemas.openxmlformats.org/spreadsheetml/2006/main">
  <authors>
    <author>Stuart Kuhn</author>
    <author>SCARTWRIGHT</author>
  </authors>
  <commentList>
    <comment ref="I10" authorId="0">
      <text>
        <r>
          <rPr>
            <b/>
            <sz val="9"/>
            <color indexed="81"/>
            <rFont val="Tahoma"/>
            <family val="2"/>
          </rPr>
          <t>Note: HMP Sizing Factors per Section 7 of HMP</t>
        </r>
        <r>
          <rPr>
            <sz val="9"/>
            <color indexed="81"/>
            <rFont val="Tahoma"/>
            <family val="2"/>
          </rPr>
          <t xml:space="preserve">
</t>
        </r>
      </text>
    </comment>
    <comment ref="F11" authorId="1">
      <text>
        <r>
          <rPr>
            <b/>
            <sz val="9"/>
            <color indexed="81"/>
            <rFont val="Tahoma"/>
            <family val="2"/>
          </rPr>
          <t>Flat = Less than 5%
Moderate = 5% to 15%
Steep = Greater than 15%</t>
        </r>
      </text>
    </comment>
  </commentList>
</comments>
</file>

<file path=xl/comments2.xml><?xml version="1.0" encoding="utf-8"?>
<comments xmlns="http://schemas.openxmlformats.org/spreadsheetml/2006/main">
  <authors>
    <author>SCARTWRIGHT</author>
  </authors>
  <commentList>
    <comment ref="E12" authorId="0">
      <text>
        <r>
          <rPr>
            <b/>
            <sz val="9"/>
            <color indexed="81"/>
            <rFont val="Tahoma"/>
            <family val="2"/>
          </rPr>
          <t>Scrub = Natural Vegetation
Urban = Landscaping
N/A = Impervious</t>
        </r>
      </text>
    </comment>
    <comment ref="F12" authorId="0">
      <text>
        <r>
          <rPr>
            <b/>
            <sz val="9"/>
            <color indexed="81"/>
            <rFont val="Tahoma"/>
            <family val="2"/>
          </rPr>
          <t>Flat = Less than 5%
Moderate = 5% to 15%
Steep = Greater than 15%</t>
        </r>
      </text>
    </comment>
  </commentList>
</comments>
</file>

<file path=xl/sharedStrings.xml><?xml version="1.0" encoding="utf-8"?>
<sst xmlns="http://schemas.openxmlformats.org/spreadsheetml/2006/main" count="3287" uniqueCount="155">
  <si>
    <r>
      <t>Q=C</t>
    </r>
    <r>
      <rPr>
        <vertAlign val="subscript"/>
        <sz val="11"/>
        <color theme="1"/>
        <rFont val="Times New Roman"/>
        <family val="1"/>
      </rPr>
      <t>d</t>
    </r>
    <r>
      <rPr>
        <sz val="11"/>
        <color theme="1"/>
        <rFont val="Times New Roman"/>
        <family val="1"/>
      </rPr>
      <t xml:space="preserve"> x A x (2gH)</t>
    </r>
    <r>
      <rPr>
        <vertAlign val="superscript"/>
        <sz val="11"/>
        <color theme="1"/>
        <rFont val="Times New Roman"/>
        <family val="1"/>
      </rPr>
      <t>0.5</t>
    </r>
  </si>
  <si>
    <t>(1)</t>
  </si>
  <si>
    <t>(2)</t>
  </si>
  <si>
    <t>Table 1-6.  Unit Runoff Ratios</t>
  </si>
  <si>
    <t>Rain Gauge</t>
  </si>
  <si>
    <t>Soil</t>
  </si>
  <si>
    <t>Cover</t>
  </si>
  <si>
    <t>Slope</t>
  </si>
  <si>
    <r>
      <t>Q</t>
    </r>
    <r>
      <rPr>
        <vertAlign val="subscript"/>
        <sz val="10"/>
        <color rgb="FF000000"/>
        <rFont val="Franklin Gothic Medium Cond"/>
        <family val="2"/>
      </rPr>
      <t>2</t>
    </r>
  </si>
  <si>
    <t>(cfs/acre)</t>
  </si>
  <si>
    <r>
      <t>Q</t>
    </r>
    <r>
      <rPr>
        <vertAlign val="subscript"/>
        <sz val="10"/>
        <color rgb="FF000000"/>
        <rFont val="Franklin Gothic Medium Cond"/>
        <family val="2"/>
      </rPr>
      <t>10</t>
    </r>
  </si>
  <si>
    <t>(cfs/ac)</t>
  </si>
  <si>
    <t>Lake Wohlford</t>
  </si>
  <si>
    <t>A</t>
  </si>
  <si>
    <t>Scrub</t>
  </si>
  <si>
    <t>Low</t>
  </si>
  <si>
    <t>Moderate</t>
  </si>
  <si>
    <t>Steep</t>
  </si>
  <si>
    <t>B</t>
  </si>
  <si>
    <t>C</t>
  </si>
  <si>
    <t>D</t>
  </si>
  <si>
    <t>Urban</t>
  </si>
  <si>
    <t>Impervious</t>
  </si>
  <si>
    <t>Oceanside</t>
  </si>
  <si>
    <t>Lindbergh</t>
  </si>
  <si>
    <t>Soil Type</t>
  </si>
  <si>
    <t>Q2 Sizing Factor</t>
  </si>
  <si>
    <t xml:space="preserve">g = </t>
  </si>
  <si>
    <t xml:space="preserve">Cd = </t>
  </si>
  <si>
    <t>DMA Area (ac)</t>
  </si>
  <si>
    <t>ft/s2</t>
  </si>
  <si>
    <t>dimensionless</t>
  </si>
  <si>
    <t>Orifice Discharge Equation</t>
  </si>
  <si>
    <t>Orifice Area (in2)</t>
  </si>
  <si>
    <t>High</t>
  </si>
  <si>
    <t>Medium</t>
  </si>
  <si>
    <r>
      <t>A= [%Q</t>
    </r>
    <r>
      <rPr>
        <vertAlign val="subscript"/>
        <sz val="11"/>
        <color theme="1"/>
        <rFont val="Times New Roman"/>
        <family val="1"/>
      </rPr>
      <t>2</t>
    </r>
    <r>
      <rPr>
        <sz val="11"/>
        <color theme="1"/>
        <rFont val="Times New Roman"/>
        <family val="1"/>
      </rPr>
      <t xml:space="preserve"> x A</t>
    </r>
    <r>
      <rPr>
        <vertAlign val="subscript"/>
        <sz val="10"/>
        <color theme="1"/>
        <rFont val="Times New Roman"/>
        <family val="1"/>
      </rPr>
      <t>DMA</t>
    </r>
    <r>
      <rPr>
        <sz val="11"/>
        <color theme="1"/>
        <rFont val="Times New Roman"/>
        <family val="1"/>
      </rPr>
      <t>]/C</t>
    </r>
    <r>
      <rPr>
        <vertAlign val="subscript"/>
        <sz val="11"/>
        <color theme="1"/>
        <rFont val="Times New Roman"/>
        <family val="1"/>
      </rPr>
      <t>d</t>
    </r>
    <r>
      <rPr>
        <sz val="11"/>
        <color theme="1"/>
        <rFont val="Times New Roman"/>
        <family val="1"/>
      </rPr>
      <t xml:space="preserve"> x (2gH)</t>
    </r>
    <r>
      <rPr>
        <vertAlign val="superscript"/>
        <sz val="11"/>
        <color theme="1"/>
        <rFont val="Times New Roman"/>
        <family val="1"/>
      </rPr>
      <t>0.5</t>
    </r>
  </si>
  <si>
    <t>Orifice Area Equation (%Q2 is low flow threshold)</t>
  </si>
  <si>
    <t>Project Name:</t>
  </si>
  <si>
    <t>Project Applicant:</t>
  </si>
  <si>
    <t>Jurisdiction:</t>
  </si>
  <si>
    <t>Parcel (APN):</t>
  </si>
  <si>
    <t>Rain Gauge:</t>
  </si>
  <si>
    <t>Hydrologic Unit:</t>
  </si>
  <si>
    <t>Total Project Area:</t>
  </si>
  <si>
    <t>Channel Susceptibility:</t>
  </si>
  <si>
    <t>BMP Type:</t>
  </si>
  <si>
    <t>Low Flow Threshold:</t>
  </si>
  <si>
    <t>HMP Sizing Factors</t>
  </si>
  <si>
    <t>Area (sf)</t>
  </si>
  <si>
    <t>Minimum BMP Size</t>
  </si>
  <si>
    <t>Cd = Orifice Discharge Coefficient</t>
  </si>
  <si>
    <t>g = Gravitational Acceleration</t>
  </si>
  <si>
    <t>A = Cross Sectional Area of Orifice</t>
  </si>
  <si>
    <t>Gauges</t>
  </si>
  <si>
    <t>Flat</t>
  </si>
  <si>
    <t>BMP</t>
  </si>
  <si>
    <t>Bioretention</t>
  </si>
  <si>
    <t>Bioretention Plus Cistern</t>
  </si>
  <si>
    <t>Bioretention Plus Vault</t>
  </si>
  <si>
    <t>Flow-Through Planter</t>
  </si>
  <si>
    <t>Infiltration</t>
  </si>
  <si>
    <t>Factors</t>
  </si>
  <si>
    <r>
      <t>0.1Q</t>
    </r>
    <r>
      <rPr>
        <vertAlign val="subscript"/>
        <sz val="11"/>
        <color theme="1"/>
        <rFont val="Calibri"/>
        <family val="2"/>
        <scheme val="minor"/>
      </rPr>
      <t>2</t>
    </r>
  </si>
  <si>
    <r>
      <t>0.3Q</t>
    </r>
    <r>
      <rPr>
        <vertAlign val="subscript"/>
        <sz val="11"/>
        <color theme="1"/>
        <rFont val="Calibri"/>
        <family val="2"/>
        <scheme val="minor"/>
      </rPr>
      <t>2</t>
    </r>
  </si>
  <si>
    <r>
      <t>0.5Q</t>
    </r>
    <r>
      <rPr>
        <vertAlign val="subscript"/>
        <sz val="11"/>
        <color theme="1"/>
        <rFont val="Calibri"/>
        <family val="2"/>
        <scheme val="minor"/>
      </rPr>
      <t>2</t>
    </r>
  </si>
  <si>
    <t>Table 7-1. Sizing Factors for Bioretention Facilities</t>
  </si>
  <si>
    <t>Soil Group</t>
  </si>
  <si>
    <r>
      <t>V</t>
    </r>
    <r>
      <rPr>
        <b/>
        <sz val="6"/>
        <color theme="1"/>
        <rFont val="Arial Narrow"/>
        <family val="2"/>
      </rPr>
      <t>1</t>
    </r>
  </si>
  <si>
    <r>
      <t>V</t>
    </r>
    <r>
      <rPr>
        <b/>
        <sz val="6"/>
        <color theme="1"/>
        <rFont val="Arial Narrow"/>
        <family val="2"/>
      </rPr>
      <t>2</t>
    </r>
  </si>
  <si>
    <r>
      <t>0.5Q</t>
    </r>
    <r>
      <rPr>
        <sz val="6"/>
        <color theme="1"/>
        <rFont val="Arial Narrow"/>
        <family val="2"/>
      </rPr>
      <t>2</t>
    </r>
  </si>
  <si>
    <t>N/A</t>
  </si>
  <si>
    <r>
      <t>0.3Q</t>
    </r>
    <r>
      <rPr>
        <sz val="6"/>
        <color theme="1"/>
        <rFont val="Arial Narrow"/>
        <family val="2"/>
      </rPr>
      <t>2</t>
    </r>
  </si>
  <si>
    <r>
      <t>0.1Q</t>
    </r>
    <r>
      <rPr>
        <sz val="6"/>
        <color theme="1"/>
        <rFont val="Arial Narrow"/>
        <family val="2"/>
      </rPr>
      <t>2</t>
    </r>
  </si>
  <si>
    <t>Table 7-2. Sizing Factors for Bioretention Plus Cistern Facilities</t>
  </si>
  <si>
    <t>Table 7-3. Sizing Factors for Bioretention Plus Vault Facilities</t>
  </si>
  <si>
    <t>Table 7-4. Sizing Factors for Flow-Through Planters</t>
  </si>
  <si>
    <t>0.5Q2</t>
  </si>
  <si>
    <t>0.3Q2</t>
  </si>
  <si>
    <t>0.1Q2</t>
  </si>
  <si>
    <t>Table 7-5. Sizing Factors for Infiltration Facilities</t>
  </si>
  <si>
    <t>Lower Flow Threshold</t>
  </si>
  <si>
    <t>Deviation from this standard outlet structure design will require separate external calculations</t>
  </si>
  <si>
    <t xml:space="preserve">     to verify hydraulic adequacy.</t>
  </si>
  <si>
    <r>
      <t>Q</t>
    </r>
    <r>
      <rPr>
        <vertAlign val="subscript"/>
        <sz val="11"/>
        <color theme="1"/>
        <rFont val="Calibri"/>
        <family val="2"/>
        <scheme val="minor"/>
      </rPr>
      <t>2</t>
    </r>
    <r>
      <rPr>
        <sz val="11"/>
        <color theme="1"/>
        <rFont val="Calibri"/>
        <family val="2"/>
        <scheme val="minor"/>
      </rPr>
      <t>s provided below (see San Diego BMP Sizing Calculator Methodology, Sec. 1.6, Table 1-6)</t>
    </r>
  </si>
  <si>
    <t>Drawdown (Hrs)</t>
  </si>
  <si>
    <t>Existing Condition</t>
  </si>
  <si>
    <t>(cfs)</t>
  </si>
  <si>
    <r>
      <t>Orifice Flow - %Q</t>
    </r>
    <r>
      <rPr>
        <vertAlign val="subscript"/>
        <sz val="11"/>
        <color theme="1"/>
        <rFont val="Calibri"/>
        <family val="2"/>
        <scheme val="minor"/>
      </rPr>
      <t>2</t>
    </r>
  </si>
  <si>
    <t>(in2)</t>
  </si>
  <si>
    <t>(in)</t>
  </si>
  <si>
    <t>H = Effective Head Above Orifice (ft)</t>
  </si>
  <si>
    <t>Bioretention / Flow-Through Planter</t>
  </si>
  <si>
    <t>San Diego BMP Sizing Calculator Methodology</t>
  </si>
  <si>
    <t>Directions to User:</t>
  </si>
  <si>
    <t>Post Project 
Surface Type</t>
  </si>
  <si>
    <t>DMA 
Name</t>
  </si>
  <si>
    <t>BMP Name</t>
  </si>
  <si>
    <t>Runoff Factor
(Table 4-2)</t>
  </si>
  <si>
    <t>in</t>
  </si>
  <si>
    <t>Tot. Allowable 
Orifice Flow</t>
  </si>
  <si>
    <t>Tot. Allowable
Orifice Area</t>
  </si>
  <si>
    <t>Actual Orifice Flow</t>
  </si>
  <si>
    <t>Selected 
Orifice Diameter</t>
  </si>
  <si>
    <t>Actual Orifice Area</t>
  </si>
  <si>
    <t>Proposed BMP Size*</t>
  </si>
  <si>
    <t xml:space="preserve">Enter a proposed orifice size. </t>
  </si>
  <si>
    <t>* Assumes standard configuration with vertical sides</t>
  </si>
  <si>
    <t>Susceptibility</t>
  </si>
  <si>
    <t>This Sizing Calculator has been developed in compliance with the Countywide Model SUSMP. For questions or concerns please contact the jurisdiction in which your project is located.</t>
  </si>
  <si>
    <t>Max Orifice Diameter</t>
  </si>
  <si>
    <t>BMP Native Soil Type:</t>
  </si>
  <si>
    <t>BMP Name:</t>
  </si>
  <si>
    <t>Native Infiltration Rates</t>
  </si>
  <si>
    <t>Native Soil Type</t>
  </si>
  <si>
    <t>N/A - Impervious Liner</t>
  </si>
  <si>
    <t>Map and measure DMA's. Include a copy of the map with your submittal.</t>
  </si>
  <si>
    <t>Make sure the BMP on your plans, specifications, and details match the proposed BMP dimensions.</t>
  </si>
  <si>
    <t>Describe the BMP's in sufficient detail in your SWMP to demonstrate the area, volume, and other criteria can be met within the constraints of the site.</t>
  </si>
  <si>
    <t>BMP's must be adapted and applied to the conditions specific to the development project such as unstable slopes or the lack of available head. 
Designated Staff have final review and approval authority over the project design.</t>
  </si>
  <si>
    <t>Areas Draining to BMP</t>
  </si>
  <si>
    <t>1.</t>
  </si>
  <si>
    <t>2.</t>
  </si>
  <si>
    <t>3.</t>
  </si>
  <si>
    <t>4.</t>
  </si>
  <si>
    <t>5.</t>
  </si>
  <si>
    <t>6.</t>
  </si>
  <si>
    <t>7.</t>
  </si>
  <si>
    <t>8.</t>
  </si>
  <si>
    <t>9.</t>
  </si>
  <si>
    <t>10.</t>
  </si>
  <si>
    <t xml:space="preserve">Fill out project information on this sheet. Rain gauge information can be found at </t>
  </si>
  <si>
    <t xml:space="preserve">http://bit.ly/1nHsWJe </t>
  </si>
  <si>
    <t>When sizing the orifice, it does not seem to account for existing impervious area.</t>
  </si>
  <si>
    <t>What does it mean when the drawdown time is blank?</t>
  </si>
  <si>
    <t xml:space="preserve">On the BMP tab, select BMP type and list all DMA's draining to the BMP. </t>
  </si>
  <si>
    <t>Frequently Asked Questions</t>
  </si>
  <si>
    <t>Total Project Area (sf):</t>
  </si>
  <si>
    <t>BMP Infiltration Rate (in/hr):</t>
  </si>
  <si>
    <t>Equations:</t>
  </si>
  <si>
    <t xml:space="preserve">This BMP Sizing Spreadsheet has been developed in accordance with the </t>
  </si>
  <si>
    <t>The entire site shall be divided into separate drainage management areas (DMAs), with each area identified as one of the following: self-treating, self-retaining, draining to a self-retaining area, or draining to a BMP. Each area should be clearly marked with a unique identifier.</t>
  </si>
  <si>
    <r>
      <t xml:space="preserve">For each BMP within your project, copy the BMP and Orifice tabs </t>
    </r>
    <r>
      <rPr>
        <u/>
        <sz val="11"/>
        <color theme="1"/>
        <rFont val="Calibri"/>
        <family val="2"/>
        <scheme val="minor"/>
      </rPr>
      <t>simultaneously</t>
    </r>
    <r>
      <rPr>
        <sz val="11"/>
        <color theme="1"/>
        <rFont val="Calibri"/>
        <family val="2"/>
        <scheme val="minor"/>
      </rPr>
      <t>. Both tabs must be copied together for linked formulas to work properly.</t>
    </r>
  </si>
  <si>
    <t>Enter the information for each DMA.</t>
  </si>
  <si>
    <t>Open the orifice tab and enter the exiting condition information for each DMA.</t>
  </si>
  <si>
    <t>Return to BMP tab and confirm selected BMP depth.</t>
  </si>
  <si>
    <t>11.</t>
  </si>
  <si>
    <t>Return to orifice tab and confirm adequacy of drawdown time.</t>
  </si>
  <si>
    <t>The BMP Sizing Spreadsheet user should attempt to account for all elements of a project site through the definition of Drainage Management Areas (DMAs) and BMPs. The total area of the DMAs and BMPs should be equal to the total site area. Including all areas – even those portions of the project site that will not be developed – will help the plan reviewer assess the completeness of the BMP sizing effort in the project application.</t>
  </si>
  <si>
    <t>On the orifice tab, existing impervious areas are accounted for by selecting "Impervious" for the soil type and "N/A" for the cover.</t>
  </si>
  <si>
    <t>This means that additional user information is need.  The most common cause is a lacks of input for the proposed vault or cistern volume on the BMP tab.</t>
  </si>
  <si>
    <t>Total BMP Area</t>
  </si>
  <si>
    <t>WARNING: Minimum Ponding Depth is greater than Maximum Ponding Depth. BMP Design must be adjusted.</t>
  </si>
  <si>
    <t>Drawdown time exceeds 96 Hrs. Project must implement a vector control program.</t>
  </si>
  <si>
    <t>BMP Sizing Spreadsheet V1.04</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</si>
</sst>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
  </numFmts>
  <fonts count="33" x14ac:knownFonts="1">
    <font>
      <sz val="11"/>
      <color theme="1"/>
      <name val="Calibri"/>
      <family val="2"/>
      <scheme val="minor"/>
    </font>
    <font>
      <b/>
      <sz val="11"/>
      <color theme="1"/>
      <name val="Calibri"/>
      <family val="2"/>
      <scheme val="minor"/>
    </font>
    <font>
      <sz val="11"/>
      <color theme="1"/>
      <name val="Times New Roman"/>
      <family val="1"/>
    </font>
    <font>
      <vertAlign val="subscript"/>
      <sz val="11"/>
      <color theme="1"/>
      <name val="Times New Roman"/>
      <family val="1"/>
    </font>
    <font>
      <vertAlign val="superscript"/>
      <sz val="11"/>
      <color theme="1"/>
      <name val="Times New Roman"/>
      <family val="1"/>
    </font>
    <font>
      <sz val="10"/>
      <color rgb="FFFFFFFF"/>
      <name val="Franklin Gothic Demi Cond"/>
      <family val="2"/>
    </font>
    <font>
      <sz val="10"/>
      <color rgb="FF000000"/>
      <name val="Franklin Gothic Medium Cond"/>
      <family val="2"/>
    </font>
    <font>
      <vertAlign val="subscript"/>
      <sz val="10"/>
      <color rgb="FF000000"/>
      <name val="Franklin Gothic Medium Cond"/>
      <family val="2"/>
    </font>
    <font>
      <sz val="9"/>
      <color rgb="FF000000"/>
      <name val="Franklin Gothic Medium Cond"/>
      <family val="2"/>
    </font>
    <font>
      <vertAlign val="subscript"/>
      <sz val="10"/>
      <color theme="1"/>
      <name val="Times New Roman"/>
      <family val="1"/>
    </font>
    <font>
      <b/>
      <sz val="12"/>
      <color theme="1"/>
      <name val="Calibri"/>
      <family val="2"/>
      <scheme val="minor"/>
    </font>
    <font>
      <sz val="11"/>
      <color rgb="FFC00000"/>
      <name val="Calibri"/>
      <family val="2"/>
      <scheme val="minor"/>
    </font>
    <font>
      <sz val="11"/>
      <color rgb="FFFF0000"/>
      <name val="Calibri"/>
      <family val="2"/>
      <scheme val="minor"/>
    </font>
    <font>
      <sz val="14"/>
      <color theme="1"/>
      <name val="Calibri"/>
      <family val="2"/>
      <scheme val="minor"/>
    </font>
    <font>
      <sz val="14"/>
      <color rgb="FFC00000"/>
      <name val="Calibri"/>
      <family val="2"/>
      <scheme val="minor"/>
    </font>
    <font>
      <vertAlign val="subscript"/>
      <sz val="11"/>
      <color theme="1"/>
      <name val="Calibri"/>
      <family val="2"/>
      <scheme val="minor"/>
    </font>
    <font>
      <b/>
      <sz val="10"/>
      <color rgb="FFFFFFFF"/>
      <name val="Arial Narrow"/>
      <family val="2"/>
    </font>
    <font>
      <b/>
      <sz val="9"/>
      <color theme="1"/>
      <name val="Arial Narrow"/>
      <family val="2"/>
    </font>
    <font>
      <sz val="9"/>
      <color theme="1"/>
      <name val="Arial Narrow"/>
      <family val="2"/>
    </font>
    <font>
      <b/>
      <sz val="6"/>
      <color theme="1"/>
      <name val="Arial Narrow"/>
      <family val="2"/>
    </font>
    <font>
      <sz val="6"/>
      <color theme="1"/>
      <name val="Arial Narrow"/>
      <family val="2"/>
    </font>
    <font>
      <sz val="9"/>
      <color theme="1"/>
      <name val="Calibri"/>
      <family val="2"/>
      <scheme val="minor"/>
    </font>
    <font>
      <sz val="10"/>
      <color theme="1"/>
      <name val="Calibri"/>
      <family val="2"/>
      <scheme val="minor"/>
    </font>
    <font>
      <sz val="11"/>
      <name val="Calibri"/>
      <family val="2"/>
      <scheme val="minor"/>
    </font>
    <font>
      <b/>
      <sz val="9"/>
      <color indexed="81"/>
      <name val="Tahoma"/>
      <family val="2"/>
    </font>
    <font>
      <b/>
      <sz val="14"/>
      <color theme="1"/>
      <name val="Calibri"/>
      <family val="2"/>
      <scheme val="minor"/>
    </font>
    <font>
      <u/>
      <sz val="11"/>
      <color theme="10"/>
      <name val="Calibri"/>
      <family val="2"/>
      <scheme val="minor"/>
    </font>
    <font>
      <sz val="9"/>
      <color indexed="81"/>
      <name val="Tahoma"/>
      <family val="2"/>
    </font>
    <font>
      <b/>
      <sz val="12"/>
      <color rgb="FFC00000"/>
      <name val="Calibri"/>
      <family val="2"/>
      <scheme val="minor"/>
    </font>
    <font>
      <i/>
      <sz val="11"/>
      <color theme="1"/>
      <name val="Calibri"/>
      <family val="2"/>
      <scheme val="minor"/>
    </font>
    <font>
      <b/>
      <u/>
      <sz val="11"/>
      <color theme="1"/>
      <name val="Calibri"/>
      <family val="2"/>
      <scheme val="minor"/>
    </font>
    <font>
      <u/>
      <sz val="11"/>
      <color theme="1"/>
      <name val="Calibri"/>
      <family val="2"/>
      <scheme val="minor"/>
    </font>
    <font>
      <b/>
      <sz val="11"/>
      <color rgb="FFFF0000"/>
      <name val="Calibri"/>
      <family val="2"/>
      <scheme val="minor"/>
    </font>
  </fonts>
  <fills count="9">
    <fill>
      <patternFill patternType="none"/>
    </fill>
    <fill>
      <patternFill patternType="gray125"/>
    </fill>
    <fill>
      <patternFill patternType="solid">
        <fgColor rgb="FF646EA6"/>
        <bgColor indexed="64"/>
      </patternFill>
    </fill>
    <fill>
      <patternFill patternType="solid">
        <fgColor rgb="FFD9D9D9"/>
        <bgColor indexed="64"/>
      </patternFill>
    </fill>
    <fill>
      <patternFill patternType="solid">
        <fgColor theme="4" tint="0.79998168889431442"/>
        <bgColor indexed="64"/>
      </patternFill>
    </fill>
    <fill>
      <patternFill patternType="solid">
        <fgColor rgb="FF2E609B"/>
        <bgColor indexed="64"/>
      </patternFill>
    </fill>
    <fill>
      <patternFill patternType="solid">
        <fgColor rgb="FFECECEC"/>
        <bgColor indexed="64"/>
      </patternFill>
    </fill>
    <fill>
      <patternFill patternType="solid">
        <fgColor rgb="FFFFC000"/>
        <bgColor indexed="64"/>
      </patternFill>
    </fill>
    <fill>
      <patternFill patternType="solid">
        <fgColor rgb="FFFFFF00"/>
        <bgColor indexed="64"/>
      </patternFill>
    </fill>
  </fills>
  <borders count="52">
    <border>
      <left/>
      <right/>
      <top/>
      <bottom/>
      <diagonal/>
    </border>
    <border>
      <left/>
      <right/>
      <top/>
      <bottom style="medium">
        <color rgb="FF7C93A0"/>
      </bottom>
      <diagonal/>
    </border>
    <border>
      <left/>
      <right style="medium">
        <color rgb="FF7C93A0"/>
      </right>
      <top/>
      <bottom style="medium">
        <color rgb="FF7C93A0"/>
      </bottom>
      <diagonal/>
    </border>
    <border>
      <left/>
      <right style="medium">
        <color rgb="FF7C93A0"/>
      </right>
      <top/>
      <bottom/>
      <diagonal/>
    </border>
    <border>
      <left/>
      <right style="medium">
        <color rgb="FF7C93A0"/>
      </right>
      <top style="medium">
        <color rgb="FF7C93A0"/>
      </top>
      <bottom/>
      <diagonal/>
    </border>
    <border>
      <left style="medium">
        <color rgb="FF7C93A0"/>
      </left>
      <right style="medium">
        <color rgb="FF7C93A0"/>
      </right>
      <top style="medium">
        <color rgb="FF7C93A0"/>
      </top>
      <bottom/>
      <diagonal/>
    </border>
    <border>
      <left style="medium">
        <color rgb="FF7C93A0"/>
      </left>
      <right style="medium">
        <color rgb="FF7C93A0"/>
      </right>
      <top/>
      <bottom style="medium">
        <color rgb="FF7C93A0"/>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right/>
      <top style="medium">
        <color indexed="64"/>
      </top>
      <bottom/>
      <diagonal/>
    </border>
    <border>
      <left/>
      <right style="thin">
        <color indexed="64"/>
      </right>
      <top style="medium">
        <color indexed="64"/>
      </top>
      <bottom style="thin">
        <color indexed="64"/>
      </bottom>
      <diagonal/>
    </border>
    <border>
      <left style="medium">
        <color indexed="64"/>
      </left>
      <right/>
      <top/>
      <bottom/>
      <diagonal/>
    </border>
  </borders>
  <cellStyleXfs count="2">
    <xf numFmtId="0" fontId="0" fillId="0" borderId="0"/>
    <xf numFmtId="0" fontId="26" fillId="0" borderId="0" applyNumberFormat="0" applyFill="0" applyBorder="0" applyAlignment="0" applyProtection="0"/>
  </cellStyleXfs>
  <cellXfs count="221">
    <xf numFmtId="0" fontId="0" fillId="0" borderId="0" xfId="0"/>
    <xf numFmtId="0" fontId="14" fillId="4" borderId="8" xfId="0" applyFont="1" applyFill="1" applyBorder="1" applyAlignment="1" applyProtection="1">
      <alignment horizontal="center"/>
      <protection locked="0"/>
    </xf>
    <xf numFmtId="165" fontId="11" fillId="4" borderId="8" xfId="0" applyNumberFormat="1" applyFont="1" applyFill="1" applyBorder="1" applyAlignment="1" applyProtection="1">
      <alignment horizontal="center"/>
      <protection locked="0"/>
    </xf>
    <xf numFmtId="0" fontId="17" fillId="6" borderId="10" xfId="0" applyFont="1" applyFill="1" applyBorder="1" applyAlignment="1">
      <alignment horizontal="left" vertical="center" wrapText="1" indent="2"/>
    </xf>
    <xf numFmtId="0" fontId="17" fillId="6" borderId="10" xfId="0" applyFont="1" applyFill="1" applyBorder="1" applyAlignment="1">
      <alignment horizontal="center" vertical="center" wrapText="1"/>
    </xf>
    <xf numFmtId="0" fontId="17" fillId="6" borderId="10" xfId="0" applyFont="1" applyFill="1" applyBorder="1" applyAlignment="1">
      <alignment horizontal="left" vertical="center" wrapText="1" indent="1"/>
    </xf>
    <xf numFmtId="0" fontId="17" fillId="6" borderId="9" xfId="0" applyFont="1" applyFill="1" applyBorder="1" applyAlignment="1">
      <alignment horizontal="center" vertical="center" wrapText="1"/>
    </xf>
    <xf numFmtId="0" fontId="18" fillId="0" borderId="10" xfId="0" applyFont="1" applyBorder="1" applyAlignment="1">
      <alignment horizontal="center" vertical="center" wrapText="1"/>
    </xf>
    <xf numFmtId="0" fontId="18" fillId="0" borderId="10" xfId="0" applyFont="1" applyBorder="1" applyAlignment="1">
      <alignment horizontal="left" vertical="center" wrapText="1" indent="2"/>
    </xf>
    <xf numFmtId="0" fontId="21" fillId="0" borderId="10" xfId="0" applyFont="1" applyBorder="1" applyAlignment="1">
      <alignment horizontal="center" vertical="center" wrapText="1"/>
    </xf>
    <xf numFmtId="0" fontId="21" fillId="0" borderId="10" xfId="0" applyFont="1" applyBorder="1" applyAlignment="1">
      <alignment horizontal="left" vertical="center" wrapText="1" indent="2"/>
    </xf>
    <xf numFmtId="0" fontId="21" fillId="0" borderId="9" xfId="0" applyFont="1" applyBorder="1" applyAlignment="1">
      <alignment horizontal="center" vertical="center" wrapText="1"/>
    </xf>
    <xf numFmtId="0" fontId="21" fillId="0" borderId="9" xfId="0" applyFont="1" applyBorder="1" applyAlignment="1">
      <alignment horizontal="left" vertical="center" wrapText="1" indent="2"/>
    </xf>
    <xf numFmtId="0" fontId="22" fillId="0" borderId="0" xfId="0" applyFont="1" applyAlignment="1">
      <alignment vertical="center"/>
    </xf>
    <xf numFmtId="0" fontId="13" fillId="0" borderId="0" xfId="0" applyFont="1" applyAlignment="1">
      <alignment vertical="center"/>
    </xf>
    <xf numFmtId="0" fontId="18" fillId="0" borderId="9" xfId="0" applyFont="1" applyBorder="1" applyAlignment="1">
      <alignment horizontal="center" vertical="center" wrapText="1"/>
    </xf>
    <xf numFmtId="0" fontId="18" fillId="0" borderId="9" xfId="0" applyFont="1" applyBorder="1" applyAlignment="1">
      <alignment horizontal="left" vertical="center" wrapText="1" indent="3"/>
    </xf>
    <xf numFmtId="0" fontId="13" fillId="0" borderId="8" xfId="0" applyFont="1" applyBorder="1" applyProtection="1"/>
    <xf numFmtId="0" fontId="0" fillId="0" borderId="0" xfId="0" applyProtection="1"/>
    <xf numFmtId="0" fontId="0" fillId="0" borderId="8" xfId="0" applyFont="1" applyBorder="1" applyProtection="1"/>
    <xf numFmtId="0" fontId="0" fillId="0" borderId="0" xfId="0" applyFont="1" applyProtection="1"/>
    <xf numFmtId="0" fontId="0" fillId="0" borderId="0" xfId="0" applyFill="1" applyProtection="1"/>
    <xf numFmtId="0" fontId="0" fillId="0" borderId="0" xfId="0" applyFill="1" applyBorder="1" applyAlignment="1" applyProtection="1">
      <alignment horizontal="center"/>
    </xf>
    <xf numFmtId="0" fontId="0" fillId="0" borderId="0" xfId="0" applyFill="1" applyBorder="1" applyAlignment="1" applyProtection="1">
      <alignment horizontal="left"/>
    </xf>
    <xf numFmtId="0" fontId="2" fillId="0" borderId="0" xfId="0" applyFont="1" applyProtection="1"/>
    <xf numFmtId="0" fontId="2" fillId="0" borderId="0" xfId="0" applyFont="1" applyAlignment="1" applyProtection="1">
      <alignment horizontal="right"/>
    </xf>
    <xf numFmtId="0" fontId="25" fillId="0" borderId="0" xfId="0" applyFont="1" applyAlignment="1" applyProtection="1">
      <alignment horizontal="center"/>
    </xf>
    <xf numFmtId="0" fontId="0" fillId="0" borderId="0" xfId="0" applyAlignment="1" applyProtection="1">
      <alignment horizontal="right"/>
    </xf>
    <xf numFmtId="0" fontId="1" fillId="0" borderId="0" xfId="0" applyFont="1" applyAlignment="1" applyProtection="1">
      <alignment horizontal="center"/>
    </xf>
    <xf numFmtId="0" fontId="1" fillId="0" borderId="0" xfId="0" applyFont="1" applyAlignment="1" applyProtection="1"/>
    <xf numFmtId="2" fontId="1" fillId="0" borderId="0" xfId="0" applyNumberFormat="1" applyFont="1" applyAlignment="1" applyProtection="1">
      <alignment horizontal="center"/>
    </xf>
    <xf numFmtId="0" fontId="0" fillId="0" borderId="0" xfId="0" applyBorder="1" applyAlignment="1" applyProtection="1">
      <alignment horizontal="center"/>
    </xf>
    <xf numFmtId="0" fontId="0" fillId="0" borderId="15" xfId="0" applyBorder="1" applyProtection="1"/>
    <xf numFmtId="0" fontId="1" fillId="0" borderId="0" xfId="0" applyFont="1" applyBorder="1" applyAlignment="1" applyProtection="1">
      <alignment horizontal="center"/>
    </xf>
    <xf numFmtId="2" fontId="1" fillId="0" borderId="0" xfId="0" applyNumberFormat="1" applyFont="1" applyBorder="1" applyAlignment="1" applyProtection="1">
      <alignment horizontal="center"/>
    </xf>
    <xf numFmtId="0" fontId="12" fillId="0" borderId="0" xfId="0" applyFont="1" applyFill="1" applyBorder="1" applyAlignment="1" applyProtection="1">
      <alignment horizontal="center"/>
    </xf>
    <xf numFmtId="2" fontId="10" fillId="0" borderId="0" xfId="0" applyNumberFormat="1" applyFont="1" applyBorder="1" applyAlignment="1" applyProtection="1">
      <alignment horizontal="center"/>
    </xf>
    <xf numFmtId="2" fontId="10" fillId="0" borderId="0" xfId="0" applyNumberFormat="1" applyFont="1" applyFill="1" applyBorder="1" applyAlignment="1" applyProtection="1">
      <alignment horizontal="center"/>
    </xf>
    <xf numFmtId="0" fontId="1" fillId="0" borderId="7" xfId="0" applyFont="1" applyBorder="1" applyAlignment="1" applyProtection="1">
      <alignment horizontal="center"/>
    </xf>
    <xf numFmtId="0" fontId="10" fillId="0" borderId="0" xfId="0" applyFont="1" applyBorder="1" applyAlignment="1" applyProtection="1">
      <alignment horizontal="center"/>
    </xf>
    <xf numFmtId="0" fontId="0" fillId="0" borderId="13" xfId="0" applyBorder="1" applyAlignment="1" applyProtection="1">
      <alignment horizontal="center"/>
    </xf>
    <xf numFmtId="165" fontId="23" fillId="0" borderId="13" xfId="0" applyNumberFormat="1" applyFont="1" applyFill="1" applyBorder="1" applyAlignment="1" applyProtection="1">
      <alignment horizontal="center"/>
    </xf>
    <xf numFmtId="0" fontId="6" fillId="3" borderId="5" xfId="0" applyFont="1" applyFill="1" applyBorder="1" applyAlignment="1" applyProtection="1">
      <alignment horizontal="center"/>
    </xf>
    <xf numFmtId="0" fontId="6" fillId="3" borderId="3" xfId="0" applyFont="1" applyFill="1" applyBorder="1" applyAlignment="1" applyProtection="1">
      <alignment horizontal="center"/>
    </xf>
    <xf numFmtId="0" fontId="6" fillId="3" borderId="0" xfId="0" applyFont="1" applyFill="1" applyAlignment="1" applyProtection="1">
      <alignment horizontal="center"/>
    </xf>
    <xf numFmtId="0" fontId="6" fillId="3" borderId="6" xfId="0" applyFont="1" applyFill="1" applyBorder="1" applyAlignment="1" applyProtection="1">
      <alignment horizontal="center"/>
    </xf>
    <xf numFmtId="0" fontId="6" fillId="3" borderId="1" xfId="0" applyFont="1" applyFill="1" applyBorder="1" applyAlignment="1" applyProtection="1">
      <alignment horizontal="center"/>
    </xf>
    <xf numFmtId="0" fontId="8" fillId="0" borderId="2" xfId="0" applyFont="1" applyBorder="1" applyAlignment="1" applyProtection="1">
      <alignment horizontal="center"/>
    </xf>
    <xf numFmtId="0" fontId="8" fillId="0" borderId="1" xfId="0" applyFont="1" applyBorder="1" applyAlignment="1" applyProtection="1">
      <alignment horizontal="center"/>
    </xf>
    <xf numFmtId="0" fontId="8" fillId="0" borderId="3" xfId="0" applyFont="1" applyFill="1" applyBorder="1" applyAlignment="1" applyProtection="1">
      <alignment horizontal="center"/>
    </xf>
    <xf numFmtId="0" fontId="0" fillId="0" borderId="8" xfId="0" applyBorder="1" applyProtection="1"/>
    <xf numFmtId="0" fontId="11" fillId="4" borderId="25" xfId="0" applyFont="1" applyFill="1" applyBorder="1" applyAlignment="1" applyProtection="1">
      <alignment horizontal="center"/>
      <protection locked="0"/>
    </xf>
    <xf numFmtId="165" fontId="11" fillId="4" borderId="26" xfId="0" applyNumberFormat="1" applyFont="1" applyFill="1" applyBorder="1" applyAlignment="1" applyProtection="1">
      <alignment horizontal="center"/>
      <protection locked="0"/>
    </xf>
    <xf numFmtId="0" fontId="11" fillId="4" borderId="27" xfId="0" applyFont="1" applyFill="1" applyBorder="1" applyAlignment="1" applyProtection="1">
      <alignment horizontal="center"/>
      <protection locked="0"/>
    </xf>
    <xf numFmtId="0" fontId="11" fillId="4" borderId="28" xfId="0" applyFont="1" applyFill="1" applyBorder="1" applyAlignment="1" applyProtection="1">
      <alignment horizontal="center"/>
      <protection locked="0"/>
    </xf>
    <xf numFmtId="1" fontId="0" fillId="0" borderId="21" xfId="0" applyNumberFormat="1" applyBorder="1" applyAlignment="1" applyProtection="1">
      <alignment horizontal="center"/>
    </xf>
    <xf numFmtId="1" fontId="0" fillId="0" borderId="22" xfId="0" applyNumberFormat="1" applyBorder="1" applyAlignment="1" applyProtection="1">
      <alignment horizontal="center"/>
    </xf>
    <xf numFmtId="0" fontId="0" fillId="0" borderId="17" xfId="0" applyFill="1" applyBorder="1" applyAlignment="1" applyProtection="1">
      <alignment horizontal="center"/>
    </xf>
    <xf numFmtId="0" fontId="0" fillId="0" borderId="20" xfId="0" applyBorder="1" applyAlignment="1" applyProtection="1">
      <alignment horizontal="center"/>
    </xf>
    <xf numFmtId="0" fontId="0" fillId="0" borderId="23" xfId="0" applyBorder="1" applyProtection="1"/>
    <xf numFmtId="0" fontId="0" fillId="0" borderId="25" xfId="0" applyBorder="1" applyProtection="1"/>
    <xf numFmtId="0" fontId="0" fillId="0" borderId="20" xfId="0" applyFill="1" applyBorder="1" applyProtection="1"/>
    <xf numFmtId="0" fontId="0" fillId="0" borderId="30" xfId="0" applyBorder="1" applyProtection="1"/>
    <xf numFmtId="0" fontId="0" fillId="0" borderId="14" xfId="0" applyFont="1" applyBorder="1" applyProtection="1"/>
    <xf numFmtId="0" fontId="0" fillId="0" borderId="21" xfId="0" applyFont="1" applyBorder="1" applyAlignment="1" applyProtection="1"/>
    <xf numFmtId="0" fontId="0" fillId="0" borderId="13" xfId="0" applyFill="1" applyBorder="1" applyAlignment="1" applyProtection="1">
      <alignment horizontal="center"/>
    </xf>
    <xf numFmtId="0" fontId="0" fillId="7" borderId="0" xfId="0" applyFill="1" applyProtection="1"/>
    <xf numFmtId="0" fontId="0" fillId="7" borderId="0" xfId="0" applyFill="1"/>
    <xf numFmtId="0" fontId="0" fillId="0" borderId="32" xfId="0" applyBorder="1" applyAlignment="1" applyProtection="1">
      <alignment horizontal="center"/>
    </xf>
    <xf numFmtId="0" fontId="0" fillId="0" borderId="32" xfId="0" applyBorder="1" applyAlignment="1" applyProtection="1">
      <alignment horizontal="center" vertical="center"/>
    </xf>
    <xf numFmtId="0" fontId="1" fillId="0" borderId="34" xfId="0" applyFont="1" applyBorder="1" applyAlignment="1" applyProtection="1">
      <alignment horizontal="center"/>
    </xf>
    <xf numFmtId="0" fontId="0" fillId="0" borderId="23" xfId="0" applyBorder="1" applyAlignment="1" applyProtection="1">
      <alignment horizontal="center"/>
    </xf>
    <xf numFmtId="49" fontId="11" fillId="4" borderId="15" xfId="0" applyNumberFormat="1" applyFont="1" applyFill="1" applyBorder="1" applyAlignment="1" applyProtection="1">
      <alignment horizontal="center"/>
      <protection locked="0"/>
    </xf>
    <xf numFmtId="0" fontId="11" fillId="4" borderId="15" xfId="0" applyFont="1" applyFill="1" applyBorder="1" applyAlignment="1" applyProtection="1">
      <alignment horizontal="center"/>
      <protection locked="0"/>
    </xf>
    <xf numFmtId="2" fontId="1" fillId="0" borderId="24" xfId="0" applyNumberFormat="1" applyFont="1" applyBorder="1" applyAlignment="1" applyProtection="1">
      <alignment horizontal="center"/>
    </xf>
    <xf numFmtId="0" fontId="0" fillId="0" borderId="36" xfId="0" applyBorder="1" applyProtection="1"/>
    <xf numFmtId="0" fontId="0" fillId="0" borderId="28" xfId="0" applyBorder="1" applyAlignment="1" applyProtection="1">
      <alignment horizontal="center"/>
    </xf>
    <xf numFmtId="0" fontId="0" fillId="0" borderId="36" xfId="0" applyBorder="1" applyAlignment="1" applyProtection="1">
      <alignment horizontal="center"/>
    </xf>
    <xf numFmtId="0" fontId="0" fillId="0" borderId="36" xfId="0" applyFill="1" applyBorder="1" applyAlignment="1" applyProtection="1">
      <alignment horizontal="center"/>
    </xf>
    <xf numFmtId="0" fontId="0" fillId="0" borderId="37" xfId="0" applyBorder="1" applyAlignment="1" applyProtection="1">
      <alignment horizontal="center"/>
    </xf>
    <xf numFmtId="0" fontId="11" fillId="4" borderId="23" xfId="0" applyFont="1" applyFill="1" applyBorder="1" applyAlignment="1" applyProtection="1">
      <alignment horizontal="center"/>
      <protection locked="0"/>
    </xf>
    <xf numFmtId="165" fontId="11" fillId="4" borderId="15" xfId="0" applyNumberFormat="1" applyFont="1" applyFill="1" applyBorder="1" applyAlignment="1" applyProtection="1">
      <alignment horizontal="center"/>
      <protection locked="0"/>
    </xf>
    <xf numFmtId="165" fontId="11" fillId="4" borderId="24" xfId="0" applyNumberFormat="1" applyFont="1" applyFill="1" applyBorder="1" applyAlignment="1" applyProtection="1">
      <alignment horizontal="center"/>
      <protection locked="0"/>
    </xf>
    <xf numFmtId="0" fontId="0" fillId="0" borderId="35" xfId="0" applyBorder="1" applyAlignment="1" applyProtection="1">
      <alignment horizontal="center" wrapText="1"/>
    </xf>
    <xf numFmtId="0" fontId="0" fillId="0" borderId="36" xfId="0" applyBorder="1" applyAlignment="1" applyProtection="1">
      <alignment horizontal="center" wrapText="1"/>
    </xf>
    <xf numFmtId="0" fontId="0" fillId="0" borderId="38" xfId="0" applyBorder="1" applyAlignment="1" applyProtection="1">
      <alignment horizontal="center" wrapText="1"/>
    </xf>
    <xf numFmtId="0" fontId="0" fillId="0" borderId="38" xfId="0" applyFont="1" applyFill="1" applyBorder="1" applyAlignment="1" applyProtection="1">
      <alignment horizontal="center"/>
    </xf>
    <xf numFmtId="0" fontId="0" fillId="0" borderId="35" xfId="0" applyFont="1" applyFill="1" applyBorder="1" applyAlignment="1" applyProtection="1">
      <alignment horizontal="center" wrapText="1"/>
    </xf>
    <xf numFmtId="0" fontId="0" fillId="0" borderId="36" xfId="0" applyFont="1" applyFill="1" applyBorder="1" applyAlignment="1" applyProtection="1">
      <alignment horizontal="center" wrapText="1"/>
    </xf>
    <xf numFmtId="0" fontId="0" fillId="0" borderId="38" xfId="0" applyFont="1" applyFill="1" applyBorder="1" applyAlignment="1" applyProtection="1">
      <alignment horizontal="center" wrapText="1"/>
    </xf>
    <xf numFmtId="0" fontId="0" fillId="0" borderId="0" xfId="0" quotePrefix="1" applyAlignment="1" applyProtection="1">
      <alignment horizontal="right"/>
    </xf>
    <xf numFmtId="0" fontId="11" fillId="4" borderId="8" xfId="0" applyFont="1" applyFill="1" applyBorder="1" applyAlignment="1" applyProtection="1">
      <alignment horizontal="center"/>
      <protection locked="0"/>
    </xf>
    <xf numFmtId="0" fontId="1" fillId="0" borderId="0" xfId="0" applyFont="1" applyProtection="1"/>
    <xf numFmtId="0" fontId="1" fillId="0" borderId="12" xfId="0" applyFont="1" applyBorder="1" applyAlignment="1" applyProtection="1">
      <alignment horizontal="center" wrapText="1"/>
    </xf>
    <xf numFmtId="2" fontId="10" fillId="0" borderId="12" xfId="0" applyNumberFormat="1" applyFont="1" applyBorder="1" applyAlignment="1" applyProtection="1">
      <alignment horizontal="center" wrapText="1"/>
    </xf>
    <xf numFmtId="164" fontId="10" fillId="0" borderId="41" xfId="0" applyNumberFormat="1" applyFont="1" applyBorder="1" applyAlignment="1" applyProtection="1">
      <alignment horizontal="center"/>
    </xf>
    <xf numFmtId="2" fontId="10" fillId="0" borderId="41" xfId="0" applyNumberFormat="1" applyFont="1" applyBorder="1" applyAlignment="1" applyProtection="1">
      <alignment horizontal="center"/>
    </xf>
    <xf numFmtId="0" fontId="0" fillId="0" borderId="40" xfId="0" applyFill="1" applyBorder="1" applyAlignment="1" applyProtection="1">
      <alignment horizontal="center"/>
    </xf>
    <xf numFmtId="0" fontId="11" fillId="4" borderId="31" xfId="0" applyFont="1" applyFill="1" applyBorder="1" applyAlignment="1" applyProtection="1">
      <alignment horizontal="center"/>
      <protection locked="0"/>
    </xf>
    <xf numFmtId="1" fontId="0" fillId="0" borderId="32" xfId="0" applyNumberFormat="1" applyBorder="1" applyAlignment="1" applyProtection="1">
      <alignment horizontal="center"/>
    </xf>
    <xf numFmtId="1" fontId="0" fillId="0" borderId="43" xfId="0" applyNumberFormat="1" applyBorder="1" applyAlignment="1" applyProtection="1">
      <alignment horizontal="center"/>
    </xf>
    <xf numFmtId="0" fontId="0" fillId="0" borderId="19" xfId="0" applyBorder="1" applyProtection="1"/>
    <xf numFmtId="0" fontId="0" fillId="0" borderId="0" xfId="0" applyFill="1"/>
    <xf numFmtId="0" fontId="23" fillId="0" borderId="23" xfId="0" applyFont="1" applyFill="1" applyBorder="1" applyAlignment="1" applyProtection="1">
      <alignment horizontal="center"/>
    </xf>
    <xf numFmtId="0" fontId="23" fillId="0" borderId="15" xfId="0" applyFont="1" applyFill="1" applyBorder="1" applyAlignment="1" applyProtection="1">
      <alignment horizontal="center"/>
    </xf>
    <xf numFmtId="0" fontId="23" fillId="0" borderId="24" xfId="0" applyFont="1" applyFill="1" applyBorder="1" applyAlignment="1" applyProtection="1">
      <alignment horizontal="center"/>
    </xf>
    <xf numFmtId="1" fontId="23" fillId="0" borderId="23" xfId="0" applyNumberFormat="1" applyFont="1" applyFill="1" applyBorder="1" applyAlignment="1" applyProtection="1">
      <alignment horizontal="center"/>
    </xf>
    <xf numFmtId="1" fontId="23" fillId="0" borderId="15" xfId="0" applyNumberFormat="1" applyFont="1" applyFill="1" applyBorder="1" applyAlignment="1" applyProtection="1">
      <alignment horizontal="center"/>
    </xf>
    <xf numFmtId="1" fontId="23" fillId="0" borderId="24" xfId="0" applyNumberFormat="1" applyFont="1" applyFill="1" applyBorder="1" applyAlignment="1" applyProtection="1">
      <alignment horizontal="center"/>
    </xf>
    <xf numFmtId="0" fontId="23" fillId="0" borderId="25" xfId="0" applyFont="1" applyFill="1" applyBorder="1" applyAlignment="1" applyProtection="1">
      <alignment horizontal="center"/>
    </xf>
    <xf numFmtId="0" fontId="23" fillId="0" borderId="8" xfId="0" applyFont="1" applyFill="1" applyBorder="1" applyAlignment="1" applyProtection="1">
      <alignment horizontal="center"/>
    </xf>
    <xf numFmtId="0" fontId="23" fillId="0" borderId="26" xfId="0" applyFont="1" applyFill="1" applyBorder="1" applyAlignment="1" applyProtection="1">
      <alignment horizontal="center"/>
    </xf>
    <xf numFmtId="1" fontId="23" fillId="0" borderId="25" xfId="0" applyNumberFormat="1" applyFont="1" applyFill="1" applyBorder="1" applyAlignment="1" applyProtection="1">
      <alignment horizontal="center"/>
    </xf>
    <xf numFmtId="1" fontId="23" fillId="0" borderId="8" xfId="0" applyNumberFormat="1" applyFont="1" applyFill="1" applyBorder="1" applyAlignment="1" applyProtection="1">
      <alignment horizontal="center"/>
    </xf>
    <xf numFmtId="1" fontId="23" fillId="0" borderId="26" xfId="0" applyNumberFormat="1" applyFont="1" applyFill="1" applyBorder="1" applyAlignment="1" applyProtection="1">
      <alignment horizontal="center"/>
    </xf>
    <xf numFmtId="0" fontId="23" fillId="0" borderId="27" xfId="0" applyFont="1" applyFill="1" applyBorder="1" applyAlignment="1" applyProtection="1">
      <alignment horizontal="center"/>
    </xf>
    <xf numFmtId="0" fontId="23" fillId="0" borderId="28" xfId="0" applyFont="1" applyFill="1" applyBorder="1" applyAlignment="1" applyProtection="1">
      <alignment horizontal="center"/>
    </xf>
    <xf numFmtId="0" fontId="23" fillId="0" borderId="29" xfId="0" applyFont="1" applyFill="1" applyBorder="1" applyAlignment="1" applyProtection="1">
      <alignment horizontal="center"/>
    </xf>
    <xf numFmtId="1" fontId="23" fillId="0" borderId="27" xfId="0" applyNumberFormat="1" applyFont="1" applyFill="1" applyBorder="1" applyAlignment="1" applyProtection="1">
      <alignment horizontal="center"/>
    </xf>
    <xf numFmtId="1" fontId="23" fillId="0" borderId="28" xfId="0" applyNumberFormat="1" applyFont="1" applyFill="1" applyBorder="1" applyAlignment="1" applyProtection="1">
      <alignment horizontal="center"/>
    </xf>
    <xf numFmtId="1" fontId="23" fillId="0" borderId="29" xfId="0" applyNumberFormat="1" applyFont="1" applyFill="1" applyBorder="1" applyAlignment="1" applyProtection="1">
      <alignment horizontal="center"/>
    </xf>
    <xf numFmtId="0" fontId="0" fillId="0" borderId="44" xfId="0" applyBorder="1" applyAlignment="1" applyProtection="1">
      <alignment horizontal="center" vertical="center"/>
    </xf>
    <xf numFmtId="0" fontId="0" fillId="0" borderId="45" xfId="0" applyBorder="1" applyAlignment="1" applyProtection="1">
      <alignment horizontal="center" vertical="center"/>
    </xf>
    <xf numFmtId="0" fontId="0" fillId="0" borderId="44" xfId="0" applyBorder="1" applyAlignment="1" applyProtection="1">
      <alignment horizontal="center" vertical="center" wrapText="1"/>
    </xf>
    <xf numFmtId="0" fontId="0" fillId="0" borderId="7" xfId="0" applyFont="1" applyBorder="1" applyAlignment="1" applyProtection="1">
      <alignment horizontal="center"/>
    </xf>
    <xf numFmtId="2" fontId="10" fillId="0" borderId="12" xfId="0" applyNumberFormat="1" applyFont="1" applyBorder="1" applyAlignment="1" applyProtection="1">
      <alignment horizontal="center" vertical="center" wrapText="1"/>
    </xf>
    <xf numFmtId="2" fontId="10" fillId="0" borderId="42" xfId="0" applyNumberFormat="1" applyFont="1" applyBorder="1" applyAlignment="1" applyProtection="1">
      <alignment horizontal="center"/>
    </xf>
    <xf numFmtId="2" fontId="1" fillId="0" borderId="46" xfId="0" applyNumberFormat="1" applyFont="1" applyBorder="1" applyAlignment="1" applyProtection="1">
      <alignment horizontal="center"/>
    </xf>
    <xf numFmtId="2" fontId="0" fillId="0" borderId="21" xfId="0" applyNumberFormat="1" applyFill="1" applyBorder="1" applyAlignment="1" applyProtection="1">
      <alignment horizontal="center"/>
    </xf>
    <xf numFmtId="0" fontId="0" fillId="0" borderId="0" xfId="0" applyProtection="1"/>
    <xf numFmtId="49" fontId="0" fillId="0" borderId="0" xfId="0" applyNumberFormat="1" applyAlignment="1" applyProtection="1">
      <alignment horizontal="left" vertical="top" indent="4"/>
    </xf>
    <xf numFmtId="0" fontId="0" fillId="0" borderId="0" xfId="0" applyAlignment="1" applyProtection="1">
      <alignment vertical="top"/>
    </xf>
    <xf numFmtId="0" fontId="0" fillId="0" borderId="0" xfId="0" applyAlignment="1" applyProtection="1">
      <alignment vertical="top" wrapText="1"/>
    </xf>
    <xf numFmtId="49" fontId="29" fillId="0" borderId="0" xfId="0" applyNumberFormat="1" applyFont="1" applyAlignment="1" applyProtection="1">
      <alignment horizontal="left" vertical="top" indent="4"/>
    </xf>
    <xf numFmtId="0" fontId="0" fillId="0" borderId="0" xfId="0" applyProtection="1"/>
    <xf numFmtId="0" fontId="0" fillId="0" borderId="0" xfId="0" applyAlignment="1" applyProtection="1">
      <alignment horizontal="left"/>
    </xf>
    <xf numFmtId="0" fontId="0" fillId="0" borderId="0" xfId="0" applyProtection="1"/>
    <xf numFmtId="0" fontId="0" fillId="0" borderId="0" xfId="0" applyAlignment="1" applyProtection="1">
      <alignment horizontal="center"/>
    </xf>
    <xf numFmtId="0" fontId="6" fillId="3" borderId="2" xfId="0" applyFont="1" applyFill="1" applyBorder="1" applyAlignment="1" applyProtection="1">
      <alignment horizontal="center"/>
    </xf>
    <xf numFmtId="0" fontId="0" fillId="0" borderId="0" xfId="0" applyFill="1" applyAlignment="1" applyProtection="1">
      <alignment horizontal="left" vertical="center" wrapText="1"/>
    </xf>
    <xf numFmtId="0" fontId="30" fillId="0" borderId="0" xfId="0" applyFont="1" applyProtection="1"/>
    <xf numFmtId="2" fontId="28" fillId="4" borderId="41" xfId="0" applyNumberFormat="1" applyFont="1" applyFill="1" applyBorder="1" applyAlignment="1" applyProtection="1">
      <alignment horizontal="center"/>
      <protection locked="0"/>
    </xf>
    <xf numFmtId="0" fontId="0" fillId="0" borderId="47" xfId="0" applyBorder="1" applyAlignment="1" applyProtection="1">
      <alignment horizontal="center"/>
    </xf>
    <xf numFmtId="0" fontId="0" fillId="0" borderId="25" xfId="0" applyBorder="1" applyAlignment="1" applyProtection="1">
      <alignment horizontal="center"/>
    </xf>
    <xf numFmtId="0" fontId="23" fillId="0" borderId="48" xfId="0" applyFont="1" applyBorder="1" applyAlignment="1" applyProtection="1">
      <alignment horizontal="center"/>
    </xf>
    <xf numFmtId="164" fontId="23" fillId="0" borderId="15" xfId="0" applyNumberFormat="1" applyFont="1" applyFill="1" applyBorder="1" applyAlignment="1" applyProtection="1">
      <alignment horizontal="center"/>
    </xf>
    <xf numFmtId="164" fontId="23" fillId="0" borderId="8" xfId="0" applyNumberFormat="1" applyFont="1" applyFill="1" applyBorder="1" applyAlignment="1" applyProtection="1">
      <alignment horizontal="center"/>
    </xf>
    <xf numFmtId="0" fontId="0" fillId="0" borderId="0" xfId="0" applyFill="1" applyAlignment="1" applyProtection="1">
      <alignment vertical="top"/>
    </xf>
    <xf numFmtId="0" fontId="0" fillId="0" borderId="0" xfId="0" applyProtection="1"/>
    <xf numFmtId="0" fontId="0" fillId="0" borderId="35" xfId="0" applyBorder="1" applyAlignment="1" applyProtection="1">
      <alignment horizontal="center"/>
    </xf>
    <xf numFmtId="0" fontId="0" fillId="0" borderId="8" xfId="0" applyFont="1" applyBorder="1" applyAlignment="1" applyProtection="1"/>
    <xf numFmtId="0" fontId="0" fillId="0" borderId="47" xfId="0" applyBorder="1" applyProtection="1"/>
    <xf numFmtId="0" fontId="0" fillId="0" borderId="33" xfId="0" applyBorder="1" applyProtection="1"/>
    <xf numFmtId="0" fontId="0" fillId="0" borderId="25" xfId="0" applyFill="1" applyBorder="1" applyProtection="1"/>
    <xf numFmtId="0" fontId="0" fillId="0" borderId="27" xfId="0" applyFont="1" applyBorder="1" applyAlignment="1" applyProtection="1"/>
    <xf numFmtId="0" fontId="22" fillId="0" borderId="28" xfId="0" applyFont="1" applyBorder="1" applyAlignment="1" applyProtection="1"/>
    <xf numFmtId="164" fontId="23" fillId="0" borderId="28" xfId="0" applyNumberFormat="1" applyFont="1" applyFill="1" applyBorder="1" applyAlignment="1" applyProtection="1">
      <alignment horizontal="center"/>
    </xf>
    <xf numFmtId="164" fontId="23" fillId="0" borderId="36" xfId="0" applyNumberFormat="1" applyFont="1" applyFill="1" applyBorder="1" applyAlignment="1" applyProtection="1">
      <alignment horizontal="center"/>
    </xf>
    <xf numFmtId="2" fontId="1" fillId="0" borderId="38" xfId="0" applyNumberFormat="1" applyFont="1" applyBorder="1" applyAlignment="1" applyProtection="1">
      <alignment horizontal="center"/>
    </xf>
    <xf numFmtId="0" fontId="0" fillId="0" borderId="0" xfId="0" applyProtection="1"/>
    <xf numFmtId="165" fontId="11" fillId="4" borderId="29" xfId="0" applyNumberFormat="1" applyFont="1" applyFill="1" applyBorder="1" applyAlignment="1" applyProtection="1">
      <alignment horizontal="center"/>
      <protection locked="0"/>
    </xf>
    <xf numFmtId="0" fontId="23" fillId="0" borderId="50" xfId="0" applyFont="1" applyBorder="1" applyAlignment="1" applyProtection="1">
      <alignment horizontal="center"/>
    </xf>
    <xf numFmtId="49" fontId="11" fillId="4" borderId="33" xfId="0" applyNumberFormat="1" applyFont="1" applyFill="1" applyBorder="1" applyAlignment="1" applyProtection="1">
      <alignment horizontal="center"/>
      <protection locked="0"/>
    </xf>
    <xf numFmtId="0" fontId="11" fillId="4" borderId="33" xfId="0" applyFont="1" applyFill="1" applyBorder="1" applyAlignment="1" applyProtection="1">
      <alignment horizontal="center"/>
      <protection locked="0"/>
    </xf>
    <xf numFmtId="0" fontId="23" fillId="0" borderId="33" xfId="0" applyFont="1" applyFill="1" applyBorder="1" applyAlignment="1" applyProtection="1">
      <alignment horizontal="center"/>
    </xf>
    <xf numFmtId="164" fontId="23" fillId="0" borderId="33" xfId="0" applyNumberFormat="1" applyFont="1" applyFill="1" applyBorder="1" applyAlignment="1" applyProtection="1">
      <alignment horizontal="center"/>
    </xf>
    <xf numFmtId="49" fontId="11" fillId="4" borderId="36" xfId="0" applyNumberFormat="1" applyFont="1" applyFill="1" applyBorder="1" applyAlignment="1" applyProtection="1">
      <alignment horizontal="center"/>
      <protection locked="0"/>
    </xf>
    <xf numFmtId="0" fontId="11" fillId="4" borderId="36" xfId="0" applyFont="1" applyFill="1" applyBorder="1" applyAlignment="1" applyProtection="1">
      <alignment horizontal="center"/>
      <protection locked="0"/>
    </xf>
    <xf numFmtId="0" fontId="26" fillId="0" borderId="0" xfId="1" applyAlignment="1" applyProtection="1">
      <alignment vertical="top" wrapText="1"/>
      <protection locked="0"/>
    </xf>
    <xf numFmtId="2" fontId="10" fillId="0" borderId="46" xfId="0" applyNumberFormat="1" applyFont="1" applyBorder="1" applyAlignment="1" applyProtection="1">
      <alignment horizontal="center"/>
    </xf>
    <xf numFmtId="2" fontId="11" fillId="0" borderId="21" xfId="0" applyNumberFormat="1" applyFont="1" applyFill="1" applyBorder="1" applyAlignment="1" applyProtection="1">
      <alignment horizontal="center"/>
      <protection locked="0"/>
    </xf>
    <xf numFmtId="1" fontId="11" fillId="0" borderId="21" xfId="0" applyNumberFormat="1" applyFont="1" applyFill="1" applyBorder="1" applyAlignment="1" applyProtection="1">
      <alignment horizontal="center"/>
      <protection locked="0"/>
    </xf>
    <xf numFmtId="0" fontId="0" fillId="0" borderId="0" xfId="0" applyFill="1" applyAlignment="1" applyProtection="1">
      <alignment vertical="top"/>
    </xf>
    <xf numFmtId="0" fontId="0" fillId="0" borderId="0" xfId="0" applyAlignment="1" applyProtection="1">
      <alignment vertical="top"/>
    </xf>
    <xf numFmtId="0" fontId="0" fillId="0" borderId="0" xfId="0" applyAlignment="1" applyProtection="1">
      <alignment horizontal="left" vertical="top" wrapText="1"/>
    </xf>
    <xf numFmtId="0" fontId="0" fillId="0" borderId="0" xfId="0" applyAlignment="1" applyProtection="1">
      <alignment horizontal="left" wrapText="1"/>
    </xf>
    <xf numFmtId="0" fontId="0" fillId="0" borderId="16" xfId="0" applyBorder="1" applyAlignment="1" applyProtection="1">
      <alignment horizontal="center"/>
    </xf>
    <xf numFmtId="0" fontId="0" fillId="0" borderId="0" xfId="0" applyAlignment="1" applyProtection="1">
      <alignment horizontal="left"/>
    </xf>
    <xf numFmtId="0" fontId="26" fillId="0" borderId="0" xfId="1" applyAlignment="1" applyProtection="1">
      <alignment horizontal="left"/>
      <protection locked="0"/>
    </xf>
    <xf numFmtId="0" fontId="0" fillId="0" borderId="0" xfId="0" applyAlignment="1" applyProtection="1">
      <alignment vertical="top" wrapText="1"/>
    </xf>
    <xf numFmtId="0" fontId="0" fillId="0" borderId="0" xfId="0" applyFill="1" applyAlignment="1" applyProtection="1">
      <alignment vertical="top" wrapText="1"/>
    </xf>
    <xf numFmtId="0" fontId="29" fillId="0" borderId="0" xfId="0" applyFont="1" applyAlignment="1" applyProtection="1">
      <alignment wrapText="1"/>
    </xf>
    <xf numFmtId="0" fontId="0" fillId="0" borderId="40" xfId="0" applyBorder="1" applyAlignment="1" applyProtection="1">
      <alignment horizontal="center"/>
    </xf>
    <xf numFmtId="0" fontId="0" fillId="0" borderId="49" xfId="0" applyBorder="1" applyAlignment="1" applyProtection="1">
      <alignment horizontal="center"/>
    </xf>
    <xf numFmtId="0" fontId="0" fillId="0" borderId="34" xfId="0" applyBorder="1" applyAlignment="1" applyProtection="1">
      <alignment horizontal="center"/>
    </xf>
    <xf numFmtId="0" fontId="11" fillId="4" borderId="8" xfId="0" applyFont="1" applyFill="1" applyBorder="1" applyAlignment="1" applyProtection="1">
      <alignment horizontal="center"/>
      <protection locked="0"/>
    </xf>
    <xf numFmtId="0" fontId="11" fillId="4" borderId="26" xfId="0" applyFont="1" applyFill="1" applyBorder="1" applyAlignment="1" applyProtection="1">
      <alignment horizontal="center"/>
      <protection locked="0"/>
    </xf>
    <xf numFmtId="0" fontId="0" fillId="0" borderId="20" xfId="0" applyFont="1" applyFill="1" applyBorder="1" applyAlignment="1" applyProtection="1">
      <alignment horizontal="center"/>
    </xf>
    <xf numFmtId="0" fontId="0" fillId="0" borderId="21" xfId="0" applyFont="1" applyFill="1" applyBorder="1" applyAlignment="1" applyProtection="1">
      <alignment horizontal="center"/>
    </xf>
    <xf numFmtId="0" fontId="0" fillId="0" borderId="22" xfId="0" applyFont="1" applyFill="1" applyBorder="1" applyAlignment="1" applyProtection="1">
      <alignment horizontal="center"/>
    </xf>
    <xf numFmtId="0" fontId="0" fillId="0" borderId="8" xfId="0" applyBorder="1" applyAlignment="1" applyProtection="1">
      <alignment horizontal="center"/>
    </xf>
    <xf numFmtId="0" fontId="0" fillId="0" borderId="26" xfId="0" applyBorder="1" applyAlignment="1" applyProtection="1">
      <alignment horizontal="center"/>
    </xf>
    <xf numFmtId="0" fontId="0" fillId="0" borderId="33" xfId="0" applyBorder="1" applyAlignment="1" applyProtection="1">
      <alignment horizontal="center"/>
    </xf>
    <xf numFmtId="0" fontId="0" fillId="0" borderId="17" xfId="0" applyFont="1" applyFill="1" applyBorder="1" applyAlignment="1" applyProtection="1">
      <alignment horizontal="center"/>
    </xf>
    <xf numFmtId="0" fontId="0" fillId="0" borderId="18" xfId="0" applyFont="1" applyFill="1" applyBorder="1" applyAlignment="1" applyProtection="1">
      <alignment horizontal="center"/>
    </xf>
    <xf numFmtId="0" fontId="0" fillId="0" borderId="19" xfId="0" applyFont="1" applyFill="1" applyBorder="1" applyAlignment="1" applyProtection="1">
      <alignment horizontal="center"/>
    </xf>
    <xf numFmtId="0" fontId="0" fillId="0" borderId="46" xfId="0" applyBorder="1" applyAlignment="1" applyProtection="1">
      <alignment horizontal="center"/>
    </xf>
    <xf numFmtId="0" fontId="11" fillId="4" borderId="28" xfId="0" applyFont="1" applyFill="1" applyBorder="1" applyAlignment="1" applyProtection="1">
      <alignment horizontal="center"/>
      <protection locked="0"/>
    </xf>
    <xf numFmtId="0" fontId="0" fillId="0" borderId="28" xfId="0" applyBorder="1" applyAlignment="1" applyProtection="1">
      <alignment horizontal="center"/>
    </xf>
    <xf numFmtId="0" fontId="0" fillId="0" borderId="29" xfId="0" applyBorder="1" applyAlignment="1" applyProtection="1">
      <alignment horizontal="center"/>
    </xf>
    <xf numFmtId="0" fontId="0" fillId="0" borderId="20" xfId="0" applyBorder="1" applyAlignment="1" applyProtection="1">
      <alignment horizontal="right"/>
    </xf>
    <xf numFmtId="0" fontId="0" fillId="0" borderId="21" xfId="0" applyBorder="1" applyAlignment="1" applyProtection="1">
      <alignment horizontal="right"/>
    </xf>
    <xf numFmtId="0" fontId="32" fillId="8" borderId="51" xfId="0" applyFont="1" applyFill="1" applyBorder="1" applyAlignment="1" applyProtection="1">
      <alignment wrapText="1"/>
    </xf>
    <xf numFmtId="0" fontId="0" fillId="0" borderId="0" xfId="0" applyProtection="1"/>
    <xf numFmtId="0" fontId="0" fillId="8" borderId="0" xfId="0" applyFill="1" applyAlignment="1" applyProtection="1">
      <alignment horizontal="left" vertical="center" wrapText="1"/>
    </xf>
    <xf numFmtId="0" fontId="6" fillId="3" borderId="4" xfId="0" applyFont="1" applyFill="1" applyBorder="1" applyAlignment="1" applyProtection="1">
      <alignment horizontal="center"/>
    </xf>
    <xf numFmtId="0" fontId="6" fillId="3" borderId="2" xfId="0" applyFont="1" applyFill="1" applyBorder="1" applyAlignment="1" applyProtection="1">
      <alignment horizontal="center"/>
    </xf>
    <xf numFmtId="0" fontId="5" fillId="2" borderId="1" xfId="0" applyFont="1" applyFill="1" applyBorder="1" applyAlignment="1" applyProtection="1">
      <alignment horizontal="center"/>
    </xf>
    <xf numFmtId="0" fontId="0" fillId="0" borderId="31" xfId="0" applyBorder="1" applyAlignment="1" applyProtection="1">
      <alignment horizontal="center" wrapText="1"/>
    </xf>
    <xf numFmtId="0" fontId="0" fillId="0" borderId="35" xfId="0" applyBorder="1" applyAlignment="1" applyProtection="1">
      <alignment horizontal="center"/>
    </xf>
    <xf numFmtId="0" fontId="0" fillId="0" borderId="0" xfId="0" applyAlignment="1" applyProtection="1">
      <alignment horizontal="center"/>
    </xf>
    <xf numFmtId="0" fontId="0" fillId="0" borderId="17" xfId="0" applyBorder="1" applyAlignment="1" applyProtection="1">
      <alignment horizontal="center"/>
    </xf>
    <xf numFmtId="0" fontId="0" fillId="0" borderId="18" xfId="0" applyBorder="1" applyAlignment="1" applyProtection="1">
      <alignment horizontal="center"/>
    </xf>
    <xf numFmtId="0" fontId="0" fillId="0" borderId="19" xfId="0" applyBorder="1" applyAlignment="1" applyProtection="1">
      <alignment horizontal="center"/>
    </xf>
    <xf numFmtId="0" fontId="0" fillId="0" borderId="15" xfId="0" applyBorder="1" applyAlignment="1" applyProtection="1">
      <alignment horizontal="center"/>
    </xf>
    <xf numFmtId="0" fontId="0" fillId="0" borderId="14" xfId="0" applyBorder="1" applyAlignment="1" applyProtection="1">
      <alignment horizontal="center"/>
    </xf>
    <xf numFmtId="0" fontId="0" fillId="0" borderId="39" xfId="0" applyBorder="1" applyAlignment="1" applyProtection="1">
      <alignment horizontal="center"/>
    </xf>
    <xf numFmtId="0" fontId="0" fillId="0" borderId="21" xfId="0" applyBorder="1" applyAlignment="1" applyProtection="1">
      <alignment horizontal="center"/>
    </xf>
    <xf numFmtId="0" fontId="0" fillId="0" borderId="22" xfId="0" applyBorder="1" applyAlignment="1" applyProtection="1">
      <alignment horizontal="center"/>
    </xf>
    <xf numFmtId="0" fontId="16" fillId="5" borderId="9" xfId="0" applyFont="1" applyFill="1" applyBorder="1" applyAlignment="1">
      <alignment horizontal="left" vertical="center" wrapText="1" indent="15"/>
    </xf>
    <xf numFmtId="0" fontId="16" fillId="5" borderId="11" xfId="0" applyFont="1" applyFill="1" applyBorder="1" applyAlignment="1">
      <alignment horizontal="left" vertical="center" wrapText="1" indent="15"/>
    </xf>
  </cellXfs>
  <cellStyles count="2">
    <cellStyle name="Hyperlink" xfId="1" builtinId="8"/>
    <cellStyle name="Normal" xfId="0" builtinId="0"/>
  </cellStyles>
  <dxfs count="7">
    <dxf>
      <font>
        <color theme="0"/>
      </font>
      <fill>
        <patternFill>
          <bgColor theme="0"/>
        </patternFill>
      </fill>
    </dxf>
    <dxf>
      <fill>
        <patternFill>
          <bgColor rgb="FFFF0000"/>
        </patternFill>
      </fill>
    </dxf>
    <dxf>
      <font>
        <color theme="0"/>
      </font>
      <fill>
        <patternFill>
          <bgColor theme="0"/>
        </patternFill>
      </fill>
    </dxf>
    <dxf>
      <font>
        <color theme="0"/>
      </font>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13</xdr:col>
      <xdr:colOff>707571</xdr:colOff>
      <xdr:row>0</xdr:row>
      <xdr:rowOff>179425</xdr:rowOff>
    </xdr:from>
    <xdr:to>
      <xdr:col>17</xdr:col>
      <xdr:colOff>380</xdr:colOff>
      <xdr:row>11</xdr:row>
      <xdr:rowOff>36018</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28914" y="179425"/>
          <a:ext cx="3138187" cy="1967061"/>
        </a:xfrm>
        <a:prstGeom prst="rect">
          <a:avLst/>
        </a:prstGeom>
      </xdr:spPr>
    </xdr:pic>
    <xdr:clientData/>
  </xdr:twoCellAnchor>
  <xdr:twoCellAnchor editAs="oneCell">
    <xdr:from>
      <xdr:col>12</xdr:col>
      <xdr:colOff>886853</xdr:colOff>
      <xdr:row>15</xdr:row>
      <xdr:rowOff>51899</xdr:rowOff>
    </xdr:from>
    <xdr:to>
      <xdr:col>17</xdr:col>
      <xdr:colOff>707571</xdr:colOff>
      <xdr:row>33</xdr:row>
      <xdr:rowOff>262043</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21653" y="2947499"/>
          <a:ext cx="4860804" cy="3965715"/>
        </a:xfrm>
        <a:prstGeom prst="rect">
          <a:avLst/>
        </a:prstGeom>
      </xdr:spPr>
    </xdr:pic>
    <xdr:clientData/>
  </xdr:twoCellAnchor>
  <xdr:twoCellAnchor editAs="oneCell">
    <xdr:from>
      <xdr:col>12</xdr:col>
      <xdr:colOff>979735</xdr:colOff>
      <xdr:row>37</xdr:row>
      <xdr:rowOff>375561</xdr:rowOff>
    </xdr:from>
    <xdr:to>
      <xdr:col>17</xdr:col>
      <xdr:colOff>805542</xdr:colOff>
      <xdr:row>47</xdr:row>
      <xdr:rowOff>32970</xdr:rowOff>
    </xdr:to>
    <xdr:pic>
      <xdr:nvPicPr>
        <xdr:cNvPr id="5" name="Picture 4"/>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9744"/>
        <a:stretch/>
      </xdr:blipFill>
      <xdr:spPr>
        <a:xfrm>
          <a:off x="12714535" y="8071761"/>
          <a:ext cx="4865893" cy="24144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17</xdr:col>
      <xdr:colOff>303317</xdr:colOff>
      <xdr:row>41</xdr:row>
      <xdr:rowOff>152400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90500"/>
          <a:ext cx="10056917" cy="7772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bit.ly/1nHsWJe" TargetMode="External"/><Relationship Id="rId1" Type="http://schemas.openxmlformats.org/officeDocument/2006/relationships/hyperlink" Target="http://www.projectcleanwater.org/images/stories/Docs/LDS/SUSMP/SUSMP_SDBMP_Sizing_Calculator_Rpt_Jan2012.pdf"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36"/>
  <sheetViews>
    <sheetView tabSelected="1" zoomScaleNormal="100" workbookViewId="0">
      <selection activeCell="C3" sqref="C3"/>
    </sheetView>
  </sheetViews>
  <sheetFormatPr defaultColWidth="9.140625" defaultRowHeight="15" x14ac:dyDescent="0.25"/>
  <cols>
    <col min="1" max="1" width="9.140625" style="18"/>
    <col min="2" max="2" width="26.42578125" style="18" bestFit="1" customWidth="1"/>
    <col min="3" max="3" width="46.28515625" style="18" customWidth="1"/>
    <col min="4" max="16384" width="9.140625" style="18"/>
  </cols>
  <sheetData>
    <row r="2" spans="2:3" x14ac:dyDescent="0.25">
      <c r="B2" s="176" t="s">
        <v>154</v>
      </c>
      <c r="C2" s="176"/>
    </row>
    <row r="3" spans="2:3" ht="18.75" x14ac:dyDescent="0.3">
      <c r="B3" s="17" t="s">
        <v>38</v>
      </c>
      <c r="C3" s="1"/>
    </row>
    <row r="4" spans="2:3" ht="18.75" x14ac:dyDescent="0.3">
      <c r="B4" s="17" t="s">
        <v>39</v>
      </c>
      <c r="C4" s="1"/>
    </row>
    <row r="5" spans="2:3" ht="18.75" x14ac:dyDescent="0.3">
      <c r="B5" s="17" t="s">
        <v>40</v>
      </c>
      <c r="C5" s="1"/>
    </row>
    <row r="6" spans="2:3" ht="18.75" x14ac:dyDescent="0.3">
      <c r="B6" s="17" t="s">
        <v>41</v>
      </c>
      <c r="C6" s="1"/>
    </row>
    <row r="7" spans="2:3" ht="18.75" x14ac:dyDescent="0.3">
      <c r="B7" s="17" t="s">
        <v>43</v>
      </c>
      <c r="C7" s="1"/>
    </row>
    <row r="8" spans="2:3" ht="18" customHeight="1" x14ac:dyDescent="0.3">
      <c r="B8" s="17" t="s">
        <v>42</v>
      </c>
      <c r="C8" s="1"/>
    </row>
    <row r="9" spans="2:3" ht="18.75" x14ac:dyDescent="0.3">
      <c r="B9" s="17" t="s">
        <v>137</v>
      </c>
      <c r="C9" s="1"/>
    </row>
    <row r="10" spans="2:3" ht="18.75" x14ac:dyDescent="0.3">
      <c r="B10" s="17" t="s">
        <v>45</v>
      </c>
      <c r="C10" s="1"/>
    </row>
    <row r="13" spans="2:3" ht="76.150000000000006" customHeight="1" x14ac:dyDescent="0.25">
      <c r="B13" s="175" t="s">
        <v>148</v>
      </c>
      <c r="C13" s="175"/>
    </row>
    <row r="15" spans="2:3" x14ac:dyDescent="0.25">
      <c r="B15" s="177" t="s">
        <v>140</v>
      </c>
      <c r="C15" s="177"/>
    </row>
    <row r="16" spans="2:3" x14ac:dyDescent="0.25">
      <c r="B16" s="178" t="s">
        <v>93</v>
      </c>
      <c r="C16" s="178"/>
    </row>
    <row r="18" spans="1:3" x14ac:dyDescent="0.25">
      <c r="A18" s="92" t="s">
        <v>94</v>
      </c>
    </row>
    <row r="19" spans="1:3" x14ac:dyDescent="0.25">
      <c r="A19" s="130" t="s">
        <v>121</v>
      </c>
      <c r="B19" s="179" t="s">
        <v>131</v>
      </c>
      <c r="C19" s="179"/>
    </row>
    <row r="20" spans="1:3" s="129" customFormat="1" x14ac:dyDescent="0.25">
      <c r="A20" s="130"/>
      <c r="B20" s="168" t="s">
        <v>132</v>
      </c>
      <c r="C20" s="132"/>
    </row>
    <row r="21" spans="1:3" x14ac:dyDescent="0.25">
      <c r="A21" s="130" t="s">
        <v>122</v>
      </c>
      <c r="B21" s="131" t="s">
        <v>116</v>
      </c>
      <c r="C21" s="131"/>
    </row>
    <row r="22" spans="1:3" ht="62.25" customHeight="1" x14ac:dyDescent="0.25">
      <c r="A22" s="130" t="s">
        <v>123</v>
      </c>
      <c r="B22" s="174" t="s">
        <v>141</v>
      </c>
      <c r="C22" s="174"/>
    </row>
    <row r="23" spans="1:3" ht="30" customHeight="1" x14ac:dyDescent="0.25">
      <c r="A23" s="130" t="s">
        <v>124</v>
      </c>
      <c r="B23" s="180" t="s">
        <v>142</v>
      </c>
      <c r="C23" s="180"/>
    </row>
    <row r="24" spans="1:3" x14ac:dyDescent="0.25">
      <c r="A24" s="130" t="s">
        <v>125</v>
      </c>
      <c r="B24" s="173" t="s">
        <v>135</v>
      </c>
      <c r="C24" s="173"/>
    </row>
    <row r="25" spans="1:3" x14ac:dyDescent="0.25">
      <c r="A25" s="130" t="s">
        <v>126</v>
      </c>
      <c r="B25" s="173" t="s">
        <v>143</v>
      </c>
      <c r="C25" s="173"/>
    </row>
    <row r="26" spans="1:3" x14ac:dyDescent="0.25">
      <c r="A26" s="130" t="s">
        <v>127</v>
      </c>
      <c r="B26" s="173" t="s">
        <v>144</v>
      </c>
      <c r="C26" s="173"/>
    </row>
    <row r="27" spans="1:3" x14ac:dyDescent="0.25">
      <c r="A27" s="130" t="s">
        <v>128</v>
      </c>
      <c r="B27" s="173" t="s">
        <v>106</v>
      </c>
      <c r="C27" s="173"/>
    </row>
    <row r="28" spans="1:3" x14ac:dyDescent="0.25">
      <c r="A28" s="130" t="s">
        <v>129</v>
      </c>
      <c r="B28" s="172" t="s">
        <v>145</v>
      </c>
      <c r="C28" s="172"/>
    </row>
    <row r="29" spans="1:3" s="134" customFormat="1" x14ac:dyDescent="0.25">
      <c r="A29" s="130" t="s">
        <v>130</v>
      </c>
      <c r="B29" s="147" t="s">
        <v>147</v>
      </c>
      <c r="C29" s="147"/>
    </row>
    <row r="30" spans="1:3" ht="31.5" customHeight="1" x14ac:dyDescent="0.25">
      <c r="A30" s="130" t="s">
        <v>146</v>
      </c>
      <c r="B30" s="180" t="s">
        <v>117</v>
      </c>
      <c r="C30" s="180"/>
    </row>
    <row r="32" spans="1:3" x14ac:dyDescent="0.25">
      <c r="A32" s="92" t="s">
        <v>136</v>
      </c>
    </row>
    <row r="33" spans="1:3" x14ac:dyDescent="0.25">
      <c r="A33" s="133" t="s">
        <v>121</v>
      </c>
      <c r="B33" s="181" t="s">
        <v>133</v>
      </c>
      <c r="C33" s="181"/>
    </row>
    <row r="34" spans="1:3" ht="46.15" customHeight="1" x14ac:dyDescent="0.25">
      <c r="A34" s="129"/>
      <c r="B34" s="179" t="s">
        <v>149</v>
      </c>
      <c r="C34" s="179"/>
    </row>
    <row r="35" spans="1:3" x14ac:dyDescent="0.25">
      <c r="A35" s="133" t="s">
        <v>122</v>
      </c>
      <c r="B35" s="181" t="s">
        <v>134</v>
      </c>
      <c r="C35" s="181"/>
    </row>
    <row r="36" spans="1:3" ht="55.9" customHeight="1" x14ac:dyDescent="0.25">
      <c r="A36" s="129"/>
      <c r="B36" s="179" t="s">
        <v>150</v>
      </c>
      <c r="C36" s="179"/>
    </row>
  </sheetData>
  <sheetProtection password="C0CB" sheet="1" objects="1" scenarios="1" selectLockedCells="1"/>
  <protectedRanges>
    <protectedRange password="CA3A" sqref="C3:C10" name="Range1"/>
  </protectedRanges>
  <mergeCells count="17">
    <mergeCell ref="B36:C36"/>
    <mergeCell ref="B33:C33"/>
    <mergeCell ref="B34:C34"/>
    <mergeCell ref="B35:C35"/>
    <mergeCell ref="B30:C30"/>
    <mergeCell ref="B28:C28"/>
    <mergeCell ref="B27:C27"/>
    <mergeCell ref="B22:C22"/>
    <mergeCell ref="B13:C13"/>
    <mergeCell ref="B2:C2"/>
    <mergeCell ref="B15:C15"/>
    <mergeCell ref="B16:C16"/>
    <mergeCell ref="B19:C19"/>
    <mergeCell ref="B23:C23"/>
    <mergeCell ref="B24:C24"/>
    <mergeCell ref="B25:C25"/>
    <mergeCell ref="B26:C26"/>
  </mergeCells>
  <hyperlinks>
    <hyperlink ref="B16" r:id="rId1"/>
    <hyperlink ref="B20" r:id="rId2"/>
  </hyperlinks>
  <printOptions horizontalCentered="1"/>
  <pageMargins left="0.7" right="0.7" top="0.75" bottom="0.75" header="0.3" footer="0.3"/>
  <pageSetup orientation="portrait" r:id="rId3"/>
  <extLst>
    <ext xmlns:x14="http://schemas.microsoft.com/office/spreadsheetml/2009/9/main" uri="{CCE6A557-97BC-4b89-ADB6-D9C93CAAB3DF}">
      <x14:dataValidations xmlns:xm="http://schemas.microsoft.com/office/excel/2006/main" count="2">
        <x14:dataValidation type="list" showInputMessage="1" showErrorMessage="1">
          <x14:formula1>
            <xm:f>'Sizing Factors'!$A$3:$A$5</xm:f>
          </x14:formula1>
          <xm:sqref>C8</xm:sqref>
        </x14:dataValidation>
        <x14:dataValidation type="list" allowBlank="1" showInputMessage="1" showErrorMessage="1">
          <x14:formula1>
            <xm:f>'Sizing Factors'!$A$47:$A$49</xm:f>
          </x14:formula1>
          <xm:sqref>C10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39"/>
  <sheetViews>
    <sheetView showGridLines="0" showZeros="0" topLeftCell="B1" zoomScaleNormal="100" workbookViewId="0">
      <selection activeCell="D7" sqref="D7:E7"/>
    </sheetView>
  </sheetViews>
  <sheetFormatPr defaultColWidth="9.140625" defaultRowHeight="15" x14ac:dyDescent="0.25"/>
  <cols>
    <col min="1" max="1" width="31.7109375" style="136" hidden="1" customWidth="1"/>
    <col min="2" max="2" width="9.140625" style="136"/>
    <col min="3" max="3" width="20.7109375" style="136" customWidth="1"/>
    <col min="4" max="4" width="14.5703125" style="136" customWidth="1"/>
    <col min="5" max="5" width="13.5703125" style="136" customWidth="1"/>
    <col min="6" max="6" width="25.42578125" style="136" customWidth="1"/>
    <col min="7" max="7" width="16.140625" style="136" customWidth="1"/>
    <col min="8" max="8" width="12.85546875" style="136" bestFit="1" customWidth="1"/>
    <col min="9" max="9" width="13.42578125" style="136" customWidth="1"/>
    <col min="10" max="10" width="15.140625" style="136" bestFit="1" customWidth="1"/>
    <col min="11" max="11" width="21.42578125" style="136" customWidth="1"/>
    <col min="12" max="12" width="15" style="136" customWidth="1"/>
    <col min="13" max="13" width="15.140625" style="136" bestFit="1" customWidth="1"/>
    <col min="14" max="14" width="18.42578125" style="136" bestFit="1" customWidth="1"/>
    <col min="15" max="15" width="54.5703125" style="136" bestFit="1" customWidth="1"/>
    <col min="16" max="16384" width="9.140625" style="136"/>
  </cols>
  <sheetData>
    <row r="1" spans="1:14" ht="15.75" thickBot="1" x14ac:dyDescent="0.3"/>
    <row r="2" spans="1:14" ht="15.75" thickBot="1" x14ac:dyDescent="0.3">
      <c r="C2" s="182" t="str">
        <f>'Project Info'!B2</f>
        <v>BMP Sizing Spreadsheet V1.04</v>
      </c>
      <c r="D2" s="183"/>
      <c r="E2" s="183"/>
      <c r="F2" s="183"/>
      <c r="G2" s="183"/>
      <c r="H2" s="184"/>
    </row>
    <row r="3" spans="1:14" x14ac:dyDescent="0.25">
      <c r="C3" s="151" t="s">
        <v>38</v>
      </c>
      <c r="D3" s="192">
        <f>'Project Info'!C3</f>
        <v>0</v>
      </c>
      <c r="E3" s="192"/>
      <c r="F3" s="152" t="s">
        <v>43</v>
      </c>
      <c r="G3" s="192">
        <f>'Project Info'!C7</f>
        <v>0</v>
      </c>
      <c r="H3" s="196"/>
    </row>
    <row r="4" spans="1:14" x14ac:dyDescent="0.25">
      <c r="C4" s="60" t="s">
        <v>39</v>
      </c>
      <c r="D4" s="190">
        <f>'Project Info'!C4</f>
        <v>0</v>
      </c>
      <c r="E4" s="190"/>
      <c r="F4" s="19" t="s">
        <v>42</v>
      </c>
      <c r="G4" s="190">
        <f>'Project Info'!C8</f>
        <v>0</v>
      </c>
      <c r="H4" s="191"/>
    </row>
    <row r="5" spans="1:14" x14ac:dyDescent="0.25">
      <c r="A5" s="136" t="str">
        <f>CONCATENATE($G$7)</f>
        <v/>
      </c>
      <c r="C5" s="60" t="s">
        <v>40</v>
      </c>
      <c r="D5" s="190">
        <f>'Project Info'!C5</f>
        <v>0</v>
      </c>
      <c r="E5" s="190"/>
      <c r="F5" s="50" t="s">
        <v>44</v>
      </c>
      <c r="G5" s="190">
        <f>'Project Info'!C9</f>
        <v>0</v>
      </c>
      <c r="H5" s="191"/>
    </row>
    <row r="6" spans="1:14" x14ac:dyDescent="0.25">
      <c r="C6" s="60" t="s">
        <v>41</v>
      </c>
      <c r="D6" s="190">
        <f>'Project Info'!C6</f>
        <v>0</v>
      </c>
      <c r="E6" s="190"/>
      <c r="F6" s="19" t="s">
        <v>47</v>
      </c>
      <c r="G6" s="190" t="str">
        <f>IF('Project Info'!C10="High", 'Sizing Factors'!A52, IF('Project Info'!C10="Medium", 'Sizing Factors'!A53, 'Sizing Factors'!A54))</f>
        <v>0.5Q2</v>
      </c>
      <c r="H6" s="191"/>
    </row>
    <row r="7" spans="1:14" x14ac:dyDescent="0.25">
      <c r="C7" s="153" t="s">
        <v>112</v>
      </c>
      <c r="D7" s="185"/>
      <c r="E7" s="185"/>
      <c r="F7" s="150" t="s">
        <v>46</v>
      </c>
      <c r="G7" s="185"/>
      <c r="H7" s="186"/>
    </row>
    <row r="8" spans="1:14" ht="15.75" thickBot="1" x14ac:dyDescent="0.3">
      <c r="C8" s="154" t="s">
        <v>111</v>
      </c>
      <c r="D8" s="197"/>
      <c r="E8" s="197"/>
      <c r="F8" s="155" t="s">
        <v>138</v>
      </c>
      <c r="G8" s="198" t="str">
        <f>IF(D8="A",'Sizing Factors'!A22,IF(D8="B",'Sizing Factors'!A23,IF(D8="C",'Sizing Factors'!A24,IF(D8="D",'Sizing Factors'!A25,"N/A"))))</f>
        <v>N/A</v>
      </c>
      <c r="H8" s="199"/>
    </row>
    <row r="9" spans="1:14" ht="15.75" thickBot="1" x14ac:dyDescent="0.3">
      <c r="D9" s="20"/>
    </row>
    <row r="10" spans="1:14" ht="15.75" thickBot="1" x14ac:dyDescent="0.3">
      <c r="C10" s="193" t="s">
        <v>120</v>
      </c>
      <c r="D10" s="194"/>
      <c r="E10" s="194"/>
      <c r="F10" s="194"/>
      <c r="G10" s="194"/>
      <c r="H10" s="195"/>
      <c r="I10" s="187" t="s">
        <v>48</v>
      </c>
      <c r="J10" s="188"/>
      <c r="K10" s="189"/>
      <c r="L10" s="187" t="s">
        <v>50</v>
      </c>
      <c r="M10" s="188"/>
      <c r="N10" s="189"/>
    </row>
    <row r="11" spans="1:14" ht="45.75" customHeight="1" thickBot="1" x14ac:dyDescent="0.3">
      <c r="C11" s="83" t="s">
        <v>96</v>
      </c>
      <c r="D11" s="77" t="s">
        <v>49</v>
      </c>
      <c r="E11" s="77" t="s">
        <v>25</v>
      </c>
      <c r="F11" s="77" t="s">
        <v>7</v>
      </c>
      <c r="G11" s="84" t="s">
        <v>95</v>
      </c>
      <c r="H11" s="85" t="s">
        <v>98</v>
      </c>
      <c r="I11" s="87" t="str">
        <f>IF($A$5="Bioretention","Surface Area",IF($A$5="Bioretention Plus Cistern","Bioretention Surface Area",IF($A$5="Bioretention Plus Vault","Bioretention Surface Area",IF($A$5="Flow-Through Planter","Surface Area",IF($A$5="Infiltration","Surface Area","")))))</f>
        <v/>
      </c>
      <c r="J11" s="88" t="str">
        <f>IF($A$5="Bioretention","Surface Volume",IF($A$5="Bioretention Plus Cistern","Cistern Volume",IF($A$5="Bioretention Plus Vault","Vault Volume",IF($A$5="Flow-Through Planter","Surface Volume",IF($A$5="Infiltration","Infiltration Volume","")))))</f>
        <v/>
      </c>
      <c r="K11" s="86" t="str">
        <f>IF($A$5="Bioretention","Subsurface Volume",IF($A$5="Bioretention Plus Cistern","N/A",IF($A$5="Bioretention Plus Vault","N/A",IF($A$5="Flow-Through Planter","Subsurface Volume",IF($A$5="Infiltration","N/A","")))))</f>
        <v/>
      </c>
      <c r="L11" s="87" t="str">
        <f>IF($A$5="Bioretention","Surface Area (sf)",IF($A$5="Bioretention Plus Cistern","Bioretention Surface Area (sf)",IF($A$5="Bioretention Plus Vault","Bioretention Surface Area (sf)",IF($A$5="Flow-Through Planter","Surface Area (sf)",IF($A$5="Infiltration","Surface Area (sf)","")))))</f>
        <v/>
      </c>
      <c r="M11" s="88" t="str">
        <f>IF($A$5="Bioretention","Surface Volume (cf)",IF($A$5="Bioretention Plus Cistern","Cistern Volume (cf)",IF($A$5="Bioretention Plus Vault","Vault Volume (cf)",IF($A$5="Flow-Through Planter","Surface Volume (cf)",IF($A$5="Infiltration","Infiltration Volume (cf)","")))))</f>
        <v/>
      </c>
      <c r="N11" s="89" t="str">
        <f>IF($A$5="Bioretention","Subsurface Volume (cf)",IF($A$5="Bioretention Plus Cistern","N/A",IF($A$5="Bioretention Plus Vault","N/A",IF($A$5="Flow-Through Planter","Subsurface Volume (cf)",IF($A$5="Infiltration","N/A","")))))</f>
        <v/>
      </c>
    </row>
    <row r="12" spans="1:14" x14ac:dyDescent="0.25">
      <c r="A12" s="136" t="str">
        <f t="shared" ref="A12:A26" si="0">CONCATENATE($G$7,$G$6,E12,F12,$G$4)</f>
        <v>0.5Q20</v>
      </c>
      <c r="C12" s="80"/>
      <c r="D12" s="73"/>
      <c r="E12" s="73"/>
      <c r="F12" s="73"/>
      <c r="G12" s="81"/>
      <c r="H12" s="82"/>
      <c r="I12" s="103">
        <f>IF(ISNA(VLOOKUP($A12,'Sizing Factors'!$A$59:$H$612,6,FALSE)),0,VLOOKUP($A12,'Sizing Factors'!$A$59:$H$612,6,FALSE))</f>
        <v>0</v>
      </c>
      <c r="J12" s="104">
        <f>IF(ISNA(VLOOKUP($A12,'Sizing Factors'!$A$59:$H$612,7,FALSE)),0,VLOOKUP($A12,'Sizing Factors'!$A$59:$H$612,7,FALSE))</f>
        <v>0</v>
      </c>
      <c r="K12" s="105">
        <f>IF(ISNA(VLOOKUP($A12,'Sizing Factors'!$A$59:$H$612,8,FALSE)),0,VLOOKUP($A12,'Sizing Factors'!$A$59:$H$612,8,FALSE))</f>
        <v>0</v>
      </c>
      <c r="L12" s="106">
        <f>IF(I12="N/A","N/A",$D12*$H12*I12)</f>
        <v>0</v>
      </c>
      <c r="M12" s="107">
        <f>IF(J12="N/A","N/A",$D12*$H12*J12)</f>
        <v>0</v>
      </c>
      <c r="N12" s="108">
        <f>IF(K12="N/A","N/A",$D12*$H12*K12)</f>
        <v>0</v>
      </c>
    </row>
    <row r="13" spans="1:14" x14ac:dyDescent="0.25">
      <c r="A13" s="136" t="str">
        <f t="shared" si="0"/>
        <v>0.5Q20</v>
      </c>
      <c r="C13" s="51"/>
      <c r="D13" s="73"/>
      <c r="E13" s="91"/>
      <c r="F13" s="91"/>
      <c r="G13" s="2"/>
      <c r="H13" s="52"/>
      <c r="I13" s="109">
        <f>IF(ISNA(VLOOKUP($A13,'Sizing Factors'!$A$59:$H$612,6,FALSE)),0,VLOOKUP($A13,'Sizing Factors'!$A$59:$H$612,6,FALSE))</f>
        <v>0</v>
      </c>
      <c r="J13" s="110">
        <f>IF(ISNA(VLOOKUP($A13,'Sizing Factors'!$A$59:$H$612,7,FALSE)),0,VLOOKUP($A13,'Sizing Factors'!$A$59:$H$612,7,FALSE))</f>
        <v>0</v>
      </c>
      <c r="K13" s="111">
        <f>IF(ISNA(VLOOKUP($A13,'Sizing Factors'!$A$59:$H$612,8,FALSE)),0,VLOOKUP($A13,'Sizing Factors'!$A$59:$H$612,8,FALSE))</f>
        <v>0</v>
      </c>
      <c r="L13" s="112">
        <f t="shared" ref="L13:L26" si="1">IF(I13="N/A","N/A",$D13*$H13*I13)</f>
        <v>0</v>
      </c>
      <c r="M13" s="113">
        <f t="shared" ref="M13:M26" si="2">IF(J13="N/A","N/A",$D13*$H13*J13)</f>
        <v>0</v>
      </c>
      <c r="N13" s="114">
        <f t="shared" ref="N13:N26" si="3">IF(K13="N/A","N/A",$D13*$H13*K13)</f>
        <v>0</v>
      </c>
    </row>
    <row r="14" spans="1:14" x14ac:dyDescent="0.25">
      <c r="A14" s="136" t="str">
        <f t="shared" si="0"/>
        <v>0.5Q20</v>
      </c>
      <c r="C14" s="51"/>
      <c r="D14" s="73"/>
      <c r="E14" s="91"/>
      <c r="F14" s="91"/>
      <c r="G14" s="2"/>
      <c r="H14" s="52"/>
      <c r="I14" s="109">
        <f>IF(ISNA(VLOOKUP($A14,'Sizing Factors'!$A$59:$H$612,6,FALSE)),0,VLOOKUP($A14,'Sizing Factors'!$A$59:$H$612,6,FALSE))</f>
        <v>0</v>
      </c>
      <c r="J14" s="110">
        <f>IF(ISNA(VLOOKUP($A14,'Sizing Factors'!$A$59:$H$612,7,FALSE)),0,VLOOKUP($A14,'Sizing Factors'!$A$59:$H$612,7,FALSE))</f>
        <v>0</v>
      </c>
      <c r="K14" s="111">
        <f>IF(ISNA(VLOOKUP($A14,'Sizing Factors'!$A$59:$H$612,8,FALSE)),0,VLOOKUP($A14,'Sizing Factors'!$A$59:$H$612,8,FALSE))</f>
        <v>0</v>
      </c>
      <c r="L14" s="112">
        <f t="shared" si="1"/>
        <v>0</v>
      </c>
      <c r="M14" s="113">
        <f t="shared" si="2"/>
        <v>0</v>
      </c>
      <c r="N14" s="114">
        <f t="shared" si="3"/>
        <v>0</v>
      </c>
    </row>
    <row r="15" spans="1:14" x14ac:dyDescent="0.25">
      <c r="A15" s="136" t="str">
        <f t="shared" si="0"/>
        <v>0.5Q20</v>
      </c>
      <c r="C15" s="51"/>
      <c r="D15" s="73"/>
      <c r="E15" s="91"/>
      <c r="F15" s="91"/>
      <c r="G15" s="2"/>
      <c r="H15" s="52"/>
      <c r="I15" s="109">
        <f>IF(ISNA(VLOOKUP($A15,'Sizing Factors'!$A$59:$H$612,6,FALSE)),0,VLOOKUP($A15,'Sizing Factors'!$A$59:$H$612,6,FALSE))</f>
        <v>0</v>
      </c>
      <c r="J15" s="110">
        <f>IF(ISNA(VLOOKUP($A15,'Sizing Factors'!$A$59:$H$612,7,FALSE)),0,VLOOKUP($A15,'Sizing Factors'!$A$59:$H$612,7,FALSE))</f>
        <v>0</v>
      </c>
      <c r="K15" s="111">
        <f>IF(ISNA(VLOOKUP($A15,'Sizing Factors'!$A$59:$H$612,8,FALSE)),0,VLOOKUP($A15,'Sizing Factors'!$A$59:$H$612,8,FALSE))</f>
        <v>0</v>
      </c>
      <c r="L15" s="112">
        <f t="shared" si="1"/>
        <v>0</v>
      </c>
      <c r="M15" s="113">
        <f t="shared" si="2"/>
        <v>0</v>
      </c>
      <c r="N15" s="114">
        <f t="shared" si="3"/>
        <v>0</v>
      </c>
    </row>
    <row r="16" spans="1:14" x14ac:dyDescent="0.25">
      <c r="A16" s="136" t="str">
        <f t="shared" si="0"/>
        <v>0.5Q20</v>
      </c>
      <c r="C16" s="51"/>
      <c r="D16" s="73"/>
      <c r="E16" s="91"/>
      <c r="F16" s="91"/>
      <c r="G16" s="2"/>
      <c r="H16" s="52"/>
      <c r="I16" s="109">
        <f>IF(ISNA(VLOOKUP($A16,'Sizing Factors'!$A$59:$H$612,6,FALSE)),0,VLOOKUP($A16,'Sizing Factors'!$A$59:$H$612,6,FALSE))</f>
        <v>0</v>
      </c>
      <c r="J16" s="110">
        <f>IF(ISNA(VLOOKUP($A16,'Sizing Factors'!$A$59:$H$612,7,FALSE)),0,VLOOKUP($A16,'Sizing Factors'!$A$59:$H$612,7,FALSE))</f>
        <v>0</v>
      </c>
      <c r="K16" s="111">
        <f>IF(ISNA(VLOOKUP($A16,'Sizing Factors'!$A$59:$H$612,8,FALSE)),0,VLOOKUP($A16,'Sizing Factors'!$A$59:$H$612,8,FALSE))</f>
        <v>0</v>
      </c>
      <c r="L16" s="112">
        <f t="shared" si="1"/>
        <v>0</v>
      </c>
      <c r="M16" s="113">
        <f t="shared" si="2"/>
        <v>0</v>
      </c>
      <c r="N16" s="114">
        <f t="shared" si="3"/>
        <v>0</v>
      </c>
    </row>
    <row r="17" spans="1:15" x14ac:dyDescent="0.25">
      <c r="A17" s="148" t="str">
        <f t="shared" si="0"/>
        <v>0.5Q20</v>
      </c>
      <c r="C17" s="51"/>
      <c r="D17" s="73"/>
      <c r="E17" s="91"/>
      <c r="F17" s="91"/>
      <c r="G17" s="2"/>
      <c r="H17" s="52"/>
      <c r="I17" s="109">
        <f>IF(ISNA(VLOOKUP($A17,'Sizing Factors'!$A$59:$H$612,6,FALSE)),0,VLOOKUP($A17,'Sizing Factors'!$A$59:$H$612,6,FALSE))</f>
        <v>0</v>
      </c>
      <c r="J17" s="110">
        <f>IF(ISNA(VLOOKUP($A17,'Sizing Factors'!$A$59:$H$612,7,FALSE)),0,VLOOKUP($A17,'Sizing Factors'!$A$59:$H$612,7,FALSE))</f>
        <v>0</v>
      </c>
      <c r="K17" s="111">
        <f>IF(ISNA(VLOOKUP($A17,'Sizing Factors'!$A$59:$H$612,8,FALSE)),0,VLOOKUP($A17,'Sizing Factors'!$A$59:$H$612,8,FALSE))</f>
        <v>0</v>
      </c>
      <c r="L17" s="112">
        <f t="shared" si="1"/>
        <v>0</v>
      </c>
      <c r="M17" s="113">
        <f t="shared" si="2"/>
        <v>0</v>
      </c>
      <c r="N17" s="114">
        <f t="shared" si="3"/>
        <v>0</v>
      </c>
    </row>
    <row r="18" spans="1:15" x14ac:dyDescent="0.25">
      <c r="A18" s="148" t="str">
        <f t="shared" si="0"/>
        <v>0.5Q20</v>
      </c>
      <c r="C18" s="51"/>
      <c r="D18" s="73"/>
      <c r="E18" s="91"/>
      <c r="F18" s="91"/>
      <c r="G18" s="91"/>
      <c r="H18" s="52"/>
      <c r="I18" s="109">
        <f>IF(ISNA(VLOOKUP($A18,'Sizing Factors'!$A$59:$H$612,6,FALSE)),0,VLOOKUP($A18,'Sizing Factors'!$A$59:$H$612,6,FALSE))</f>
        <v>0</v>
      </c>
      <c r="J18" s="110">
        <f>IF(ISNA(VLOOKUP($A18,'Sizing Factors'!$A$59:$H$612,7,FALSE)),0,VLOOKUP($A18,'Sizing Factors'!$A$59:$H$612,7,FALSE))</f>
        <v>0</v>
      </c>
      <c r="K18" s="111">
        <f>IF(ISNA(VLOOKUP($A18,'Sizing Factors'!$A$59:$H$612,8,FALSE)),0,VLOOKUP($A18,'Sizing Factors'!$A$59:$H$612,8,FALSE))</f>
        <v>0</v>
      </c>
      <c r="L18" s="112">
        <f t="shared" si="1"/>
        <v>0</v>
      </c>
      <c r="M18" s="113">
        <f t="shared" si="2"/>
        <v>0</v>
      </c>
      <c r="N18" s="114">
        <f t="shared" si="3"/>
        <v>0</v>
      </c>
    </row>
    <row r="19" spans="1:15" x14ac:dyDescent="0.25">
      <c r="A19" s="148" t="str">
        <f t="shared" si="0"/>
        <v>0.5Q20</v>
      </c>
      <c r="C19" s="51"/>
      <c r="D19" s="73"/>
      <c r="E19" s="91"/>
      <c r="F19" s="91"/>
      <c r="G19" s="91"/>
      <c r="H19" s="52"/>
      <c r="I19" s="109">
        <f>IF(ISNA(VLOOKUP($A19,'Sizing Factors'!$A$59:$H$612,6,FALSE)),0,VLOOKUP($A19,'Sizing Factors'!$A$59:$H$612,6,FALSE))</f>
        <v>0</v>
      </c>
      <c r="J19" s="110">
        <f>IF(ISNA(VLOOKUP($A19,'Sizing Factors'!$A$59:$H$612,7,FALSE)),0,VLOOKUP($A19,'Sizing Factors'!$A$59:$H$612,7,FALSE))</f>
        <v>0</v>
      </c>
      <c r="K19" s="111">
        <f>IF(ISNA(VLOOKUP($A19,'Sizing Factors'!$A$59:$H$612,8,FALSE)),0,VLOOKUP($A19,'Sizing Factors'!$A$59:$H$612,8,FALSE))</f>
        <v>0</v>
      </c>
      <c r="L19" s="112">
        <f t="shared" si="1"/>
        <v>0</v>
      </c>
      <c r="M19" s="113">
        <f t="shared" si="2"/>
        <v>0</v>
      </c>
      <c r="N19" s="114">
        <f t="shared" si="3"/>
        <v>0</v>
      </c>
    </row>
    <row r="20" spans="1:15" x14ac:dyDescent="0.25">
      <c r="A20" s="148" t="str">
        <f t="shared" si="0"/>
        <v>0.5Q20</v>
      </c>
      <c r="C20" s="51"/>
      <c r="D20" s="73"/>
      <c r="E20" s="91"/>
      <c r="F20" s="91"/>
      <c r="G20" s="91"/>
      <c r="H20" s="52"/>
      <c r="I20" s="109">
        <f>IF(ISNA(VLOOKUP($A20,'Sizing Factors'!$A$59:$H$612,6,FALSE)),0,VLOOKUP($A20,'Sizing Factors'!$A$59:$H$612,6,FALSE))</f>
        <v>0</v>
      </c>
      <c r="J20" s="110">
        <f>IF(ISNA(VLOOKUP($A20,'Sizing Factors'!$A$59:$H$612,7,FALSE)),0,VLOOKUP($A20,'Sizing Factors'!$A$59:$H$612,7,FALSE))</f>
        <v>0</v>
      </c>
      <c r="K20" s="111">
        <f>IF(ISNA(VLOOKUP($A20,'Sizing Factors'!$A$59:$H$612,8,FALSE)),0,VLOOKUP($A20,'Sizing Factors'!$A$59:$H$612,8,FALSE))</f>
        <v>0</v>
      </c>
      <c r="L20" s="112">
        <f t="shared" si="1"/>
        <v>0</v>
      </c>
      <c r="M20" s="113">
        <f t="shared" si="2"/>
        <v>0</v>
      </c>
      <c r="N20" s="114">
        <f t="shared" si="3"/>
        <v>0</v>
      </c>
    </row>
    <row r="21" spans="1:15" x14ac:dyDescent="0.25">
      <c r="A21" s="148" t="str">
        <f t="shared" si="0"/>
        <v>0.5Q20</v>
      </c>
      <c r="C21" s="51"/>
      <c r="D21" s="73"/>
      <c r="E21" s="91"/>
      <c r="F21" s="91"/>
      <c r="G21" s="91"/>
      <c r="H21" s="52"/>
      <c r="I21" s="109">
        <f>IF(ISNA(VLOOKUP($A21,'Sizing Factors'!$A$59:$H$612,6,FALSE)),0,VLOOKUP($A21,'Sizing Factors'!$A$59:$H$612,6,FALSE))</f>
        <v>0</v>
      </c>
      <c r="J21" s="110">
        <f>IF(ISNA(VLOOKUP($A21,'Sizing Factors'!$A$59:$H$612,7,FALSE)),0,VLOOKUP($A21,'Sizing Factors'!$A$59:$H$612,7,FALSE))</f>
        <v>0</v>
      </c>
      <c r="K21" s="111">
        <f>IF(ISNA(VLOOKUP($A21,'Sizing Factors'!$A$59:$H$612,8,FALSE)),0,VLOOKUP($A21,'Sizing Factors'!$A$59:$H$612,8,FALSE))</f>
        <v>0</v>
      </c>
      <c r="L21" s="112">
        <f t="shared" si="1"/>
        <v>0</v>
      </c>
      <c r="M21" s="113">
        <f t="shared" si="2"/>
        <v>0</v>
      </c>
      <c r="N21" s="114">
        <f t="shared" si="3"/>
        <v>0</v>
      </c>
    </row>
    <row r="22" spans="1:15" x14ac:dyDescent="0.25">
      <c r="A22" s="136" t="str">
        <f t="shared" si="0"/>
        <v>0.5Q20</v>
      </c>
      <c r="C22" s="80"/>
      <c r="D22" s="73"/>
      <c r="E22" s="91"/>
      <c r="F22" s="91"/>
      <c r="G22" s="91"/>
      <c r="H22" s="52"/>
      <c r="I22" s="109">
        <f>IF(ISNA(VLOOKUP($A22,'Sizing Factors'!$A$59:$H$612,6,FALSE)),0,VLOOKUP($A22,'Sizing Factors'!$A$59:$H$612,6,FALSE))</f>
        <v>0</v>
      </c>
      <c r="J22" s="110">
        <f>IF(ISNA(VLOOKUP($A22,'Sizing Factors'!$A$59:$H$612,7,FALSE)),0,VLOOKUP($A22,'Sizing Factors'!$A$59:$H$612,7,FALSE))</f>
        <v>0</v>
      </c>
      <c r="K22" s="111">
        <f>IF(ISNA(VLOOKUP($A22,'Sizing Factors'!$A$59:$H$612,8,FALSE)),0,VLOOKUP($A22,'Sizing Factors'!$A$59:$H$612,8,FALSE))</f>
        <v>0</v>
      </c>
      <c r="L22" s="112">
        <f t="shared" si="1"/>
        <v>0</v>
      </c>
      <c r="M22" s="113">
        <f t="shared" si="2"/>
        <v>0</v>
      </c>
      <c r="N22" s="114">
        <f t="shared" si="3"/>
        <v>0</v>
      </c>
    </row>
    <row r="23" spans="1:15" x14ac:dyDescent="0.25">
      <c r="A23" s="136" t="str">
        <f t="shared" si="0"/>
        <v>0.5Q20</v>
      </c>
      <c r="C23" s="51"/>
      <c r="D23" s="73"/>
      <c r="E23" s="91"/>
      <c r="F23" s="91"/>
      <c r="G23" s="91"/>
      <c r="H23" s="52"/>
      <c r="I23" s="109">
        <f>IF(ISNA(VLOOKUP($A23,'Sizing Factors'!$A$59:$H$612,6,FALSE)),0,VLOOKUP($A23,'Sizing Factors'!$A$59:$H$612,6,FALSE))</f>
        <v>0</v>
      </c>
      <c r="J23" s="110">
        <f>IF(ISNA(VLOOKUP($A23,'Sizing Factors'!$A$59:$H$612,7,FALSE)),0,VLOOKUP($A23,'Sizing Factors'!$A$59:$H$612,7,FALSE))</f>
        <v>0</v>
      </c>
      <c r="K23" s="111">
        <f>IF(ISNA(VLOOKUP($A23,'Sizing Factors'!$A$59:$H$612,8,FALSE)),0,VLOOKUP($A23,'Sizing Factors'!$A$59:$H$612,8,FALSE))</f>
        <v>0</v>
      </c>
      <c r="L23" s="112">
        <f t="shared" si="1"/>
        <v>0</v>
      </c>
      <c r="M23" s="113">
        <f t="shared" si="2"/>
        <v>0</v>
      </c>
      <c r="N23" s="114">
        <f t="shared" si="3"/>
        <v>0</v>
      </c>
    </row>
    <row r="24" spans="1:15" x14ac:dyDescent="0.25">
      <c r="A24" s="136" t="str">
        <f t="shared" si="0"/>
        <v>0.5Q20</v>
      </c>
      <c r="C24" s="51"/>
      <c r="D24" s="73"/>
      <c r="E24" s="91"/>
      <c r="F24" s="91"/>
      <c r="G24" s="91"/>
      <c r="H24" s="52"/>
      <c r="I24" s="109">
        <f>IF(ISNA(VLOOKUP($A24,'Sizing Factors'!$A$59:$H$612,6,FALSE)),0,VLOOKUP($A24,'Sizing Factors'!$A$59:$H$612,6,FALSE))</f>
        <v>0</v>
      </c>
      <c r="J24" s="110">
        <f>IF(ISNA(VLOOKUP($A24,'Sizing Factors'!$A$59:$H$612,7,FALSE)),0,VLOOKUP($A24,'Sizing Factors'!$A$59:$H$612,7,FALSE))</f>
        <v>0</v>
      </c>
      <c r="K24" s="111">
        <f>IF(ISNA(VLOOKUP($A24,'Sizing Factors'!$A$59:$H$612,8,FALSE)),0,VLOOKUP($A24,'Sizing Factors'!$A$59:$H$612,8,FALSE))</f>
        <v>0</v>
      </c>
      <c r="L24" s="112">
        <f t="shared" si="1"/>
        <v>0</v>
      </c>
      <c r="M24" s="113">
        <f t="shared" si="2"/>
        <v>0</v>
      </c>
      <c r="N24" s="114">
        <f t="shared" si="3"/>
        <v>0</v>
      </c>
    </row>
    <row r="25" spans="1:15" x14ac:dyDescent="0.25">
      <c r="A25" s="136" t="str">
        <f t="shared" si="0"/>
        <v>0.5Q20</v>
      </c>
      <c r="C25" s="51"/>
      <c r="D25" s="73"/>
      <c r="E25" s="91"/>
      <c r="F25" s="91"/>
      <c r="G25" s="91"/>
      <c r="H25" s="52"/>
      <c r="I25" s="109">
        <f>IF(ISNA(VLOOKUP($A25,'Sizing Factors'!$A$59:$H$612,6,FALSE)),0,VLOOKUP($A25,'Sizing Factors'!$A$59:$H$612,6,FALSE))</f>
        <v>0</v>
      </c>
      <c r="J25" s="110">
        <f>IF(ISNA(VLOOKUP($A25,'Sizing Factors'!$A$59:$H$612,7,FALSE)),0,VLOOKUP($A25,'Sizing Factors'!$A$59:$H$612,7,FALSE))</f>
        <v>0</v>
      </c>
      <c r="K25" s="111">
        <f>IF(ISNA(VLOOKUP($A25,'Sizing Factors'!$A$59:$H$612,8,FALSE)),0,VLOOKUP($A25,'Sizing Factors'!$A$59:$H$612,8,FALSE))</f>
        <v>0</v>
      </c>
      <c r="L25" s="112">
        <f t="shared" si="1"/>
        <v>0</v>
      </c>
      <c r="M25" s="113">
        <f t="shared" si="2"/>
        <v>0</v>
      </c>
      <c r="N25" s="114">
        <f t="shared" si="3"/>
        <v>0</v>
      </c>
    </row>
    <row r="26" spans="1:15" ht="15.75" thickBot="1" x14ac:dyDescent="0.3">
      <c r="A26" s="136" t="str">
        <f t="shared" si="0"/>
        <v>0.5Q20</v>
      </c>
      <c r="C26" s="53"/>
      <c r="D26" s="73"/>
      <c r="E26" s="54"/>
      <c r="F26" s="54"/>
      <c r="G26" s="54"/>
      <c r="H26" s="160"/>
      <c r="I26" s="115">
        <f>IF(ISNA(VLOOKUP($A26,'Sizing Factors'!$A$59:$H$612,6,FALSE)),0,VLOOKUP($A26,'Sizing Factors'!$A$59:$H$612,6,FALSE))</f>
        <v>0</v>
      </c>
      <c r="J26" s="116">
        <f>IF(ISNA(VLOOKUP($A26,'Sizing Factors'!$A$59:$H$612,7,FALSE)),0,VLOOKUP($A26,'Sizing Factors'!$A$59:$H$612,7,FALSE))</f>
        <v>0</v>
      </c>
      <c r="K26" s="117">
        <f>IF(ISNA(VLOOKUP($A26,'Sizing Factors'!$A$59:$H$612,8,FALSE)),0,VLOOKUP($A26,'Sizing Factors'!$A$59:$H$612,8,FALSE))</f>
        <v>0</v>
      </c>
      <c r="L26" s="118">
        <f t="shared" si="1"/>
        <v>0</v>
      </c>
      <c r="M26" s="119">
        <f t="shared" si="2"/>
        <v>0</v>
      </c>
      <c r="N26" s="120">
        <f t="shared" si="3"/>
        <v>0</v>
      </c>
    </row>
    <row r="27" spans="1:15" ht="15.75" thickBot="1" x14ac:dyDescent="0.3">
      <c r="C27" s="65" t="s">
        <v>151</v>
      </c>
      <c r="D27" s="40">
        <f>SUM(D12:D26)</f>
        <v>0</v>
      </c>
      <c r="K27" s="57" t="s">
        <v>50</v>
      </c>
      <c r="L27" s="58">
        <f>SUM(L12:L26)</f>
        <v>0</v>
      </c>
      <c r="M27" s="55">
        <f t="shared" ref="M27:N27" si="4">SUM(M12:M26)</f>
        <v>0</v>
      </c>
      <c r="N27" s="56">
        <f t="shared" si="4"/>
        <v>0</v>
      </c>
    </row>
    <row r="28" spans="1:15" ht="15.75" thickBot="1" x14ac:dyDescent="0.3">
      <c r="K28" s="97" t="s">
        <v>105</v>
      </c>
      <c r="L28" s="98"/>
      <c r="M28" s="99" t="str">
        <f>IF(G7="bioretention",(L28*0.25*(M29-18)/12)+(L28*M32/12),IF(G7="flow-through planter",(L28*0.25*(M29-18)/12)+(L28*M32/12),IF(G7="infiltration",(L28*(M32*0.4/12))+(L28*1*0.25),"N/A")))</f>
        <v>N/A</v>
      </c>
      <c r="N28" s="100" t="str">
        <f>IF(G7="bioretention",L28*1.5*0.4,IF(G7="flow-through planter",L28*1.5*0.4,"N/A"))</f>
        <v>N/A</v>
      </c>
      <c r="O28" s="136" t="s">
        <v>107</v>
      </c>
    </row>
    <row r="29" spans="1:15" s="159" customFormat="1" ht="15.75" thickBot="1" x14ac:dyDescent="0.3">
      <c r="K29" s="200" t="str">
        <f>IF($A$5="Bioretention","Soil Matrix Depth",IF($A$5="Bioretention Plus Cistern","",IF($A$5="Bioretention Plus Vault","",IF($A$5="Flow-Through Planter","Soil Matrix Depth",IF($A$5="Infiltration","","")))))</f>
        <v/>
      </c>
      <c r="L29" s="201" t="str">
        <f t="shared" ref="L29:L33" si="5">IF($A$5="Bioretention","Surface Volume",IF($A$5="Bioretention Plus Cistern","Cistern Volume",IF($A$5="Bioretention Plus Vault","Vault Volume",IF($A$5="Flow-Through Planter","Surface Volume",IF($A$5="Infiltration","Infiltration Volume","")))))</f>
        <v/>
      </c>
      <c r="M29" s="170">
        <v>18</v>
      </c>
      <c r="N29" s="101" t="s">
        <v>99</v>
      </c>
    </row>
    <row r="30" spans="1:15" ht="15.75" thickBot="1" x14ac:dyDescent="0.3">
      <c r="C30" s="23"/>
      <c r="K30" s="200" t="str">
        <f>IF($A$5="Bioretention","Minimum Ponding Depth",IF($A$5="Bioretention Plus Cistern","Minimum Cistern Depth",IF($A$5="Bioretention Plus Vault","Minimum Vault Depth",IF($A$5="Flow-Through Planter","Minimum Ponding Depth",IF($A$5="Infiltration","Minimum Infiltration Depth","")))))</f>
        <v/>
      </c>
      <c r="L30" s="201" t="str">
        <f t="shared" si="5"/>
        <v/>
      </c>
      <c r="M30" s="128" t="str">
        <f>IFERROR(IF(G7="bioretention",(M27-(L28*0.25*(M29-18)/12))/L28*12,IF(G7="flow-through planter",(M27-(L28*0.25*(M29-18)/12))/L28*12,IF(G7="infiltration",M27/L28*12,"N/A"))),"N/A")</f>
        <v>N/A</v>
      </c>
      <c r="N30" s="101" t="s">
        <v>99</v>
      </c>
      <c r="O30" s="202" t="s">
        <v>152</v>
      </c>
    </row>
    <row r="31" spans="1:15" ht="15.75" thickBot="1" x14ac:dyDescent="0.3">
      <c r="K31" s="200" t="str">
        <f>IF($A$5="Bioretention","Maximum Ponding Depth",IF($A$5="Bioretention Plus Cistern","Maximum Cistern Depth",IF($A$5="Bioretention Plus Vault","Maximum Vault Depth",IF($A$5="Flow-Through Planter","Maximum Ponding Depth",IF($A$5="Infiltration","Maximum Infiltration Depth","")))))</f>
        <v/>
      </c>
      <c r="L31" s="201" t="str">
        <f t="shared" si="5"/>
        <v/>
      </c>
      <c r="M31" s="128" t="str">
        <f>IFERROR(IF(G7="bioretention",('Orifice #1'!I33*96*3600/L28)*12,IF(G7="flow-through planter",('Orifice #1'!I33*96*3600/L28)*12,IF(G7="infiltration",G8*96,"N/A"))),"N/A")</f>
        <v>N/A</v>
      </c>
      <c r="N31" s="101" t="s">
        <v>99</v>
      </c>
      <c r="O31" s="202"/>
    </row>
    <row r="32" spans="1:15" ht="15.75" thickBot="1" x14ac:dyDescent="0.3">
      <c r="K32" s="200" t="str">
        <f>IF($A$5="Bioretention","Selected Ponding Depth",IF($A$5="Bioretention Plus Cistern","Selected Cistern Depth",IF($A$5="Bioretention Plus Vault","Selected Vault Depth",IF($A$5="Flow-Through Planter","Selected Ponding Depth",IF($A$5="Infiltration","Selected Infiltration Depth","")))))</f>
        <v/>
      </c>
      <c r="L32" s="201" t="str">
        <f t="shared" si="5"/>
        <v/>
      </c>
      <c r="M32" s="170">
        <v>10</v>
      </c>
      <c r="N32" s="101" t="s">
        <v>99</v>
      </c>
    </row>
    <row r="33" spans="3:14" ht="15.75" thickBot="1" x14ac:dyDescent="0.3">
      <c r="K33" s="200" t="str">
        <f>IF($A$5="Bioretention","",IF($A$5="Bioretention Plus Cistern","Selected Cistern Volume",IF($A$5="Bioretention Plus Vault","Selected Vault Volume",IF($A$5="Flow-Through Planter","",""))))</f>
        <v/>
      </c>
      <c r="L33" s="201" t="str">
        <f t="shared" si="5"/>
        <v/>
      </c>
      <c r="M33" s="171"/>
      <c r="N33" s="101" t="str">
        <f>IF($A$5="Bioretention","",IF($A$5="Bioretention Plus Cistern","cubic feet",IF($A$5="Bioretention Plus Vault","cubic feet",IF($A$5="Flow-Through Planter","",IF($A$5="Infiltration","","")))))</f>
        <v/>
      </c>
    </row>
    <row r="34" spans="3:14" x14ac:dyDescent="0.25">
      <c r="C34" s="203" t="s">
        <v>118</v>
      </c>
      <c r="D34" s="203"/>
      <c r="E34" s="203"/>
      <c r="F34" s="203"/>
      <c r="G34" s="203"/>
      <c r="H34" s="203"/>
      <c r="I34" s="203"/>
      <c r="J34" s="203"/>
      <c r="K34" s="203"/>
      <c r="L34" s="203"/>
      <c r="M34" s="203"/>
      <c r="N34" s="203"/>
    </row>
    <row r="36" spans="3:14" ht="28.5" customHeight="1" x14ac:dyDescent="0.25">
      <c r="C36" s="175" t="s">
        <v>119</v>
      </c>
      <c r="D36" s="175"/>
      <c r="E36" s="175"/>
      <c r="F36" s="175"/>
      <c r="G36" s="175"/>
      <c r="H36" s="175"/>
      <c r="I36" s="175"/>
      <c r="J36" s="175"/>
      <c r="K36" s="175"/>
      <c r="L36" s="175"/>
      <c r="M36" s="175"/>
      <c r="N36" s="175"/>
    </row>
    <row r="38" spans="3:14" x14ac:dyDescent="0.25">
      <c r="C38" s="203" t="s">
        <v>109</v>
      </c>
      <c r="D38" s="203"/>
      <c r="E38" s="203"/>
      <c r="F38" s="203"/>
      <c r="G38" s="203"/>
      <c r="H38" s="203"/>
      <c r="I38" s="203"/>
      <c r="J38" s="203"/>
      <c r="K38" s="203"/>
      <c r="L38" s="203"/>
      <c r="M38" s="203"/>
      <c r="N38" s="203"/>
    </row>
    <row r="39" spans="3:14" x14ac:dyDescent="0.25">
      <c r="C39" s="21"/>
    </row>
  </sheetData>
  <sheetProtection password="C0CB" sheet="1" objects="1" scenarios="1" selectLockedCells="1"/>
  <protectedRanges>
    <protectedRange password="CA3A" sqref="G4 G6:G7" name="Range1"/>
    <protectedRange password="CA3A" sqref="E12:F17 E18:H21 I12:N21 E22:N26" name="Range1_1"/>
    <protectedRange password="CA3A" sqref="G12:H17 D12:D26" name="Range1_1_1"/>
  </protectedRanges>
  <mergeCells count="25">
    <mergeCell ref="O30:O31"/>
    <mergeCell ref="C38:N38"/>
    <mergeCell ref="C34:N34"/>
    <mergeCell ref="C36:N36"/>
    <mergeCell ref="K33:L33"/>
    <mergeCell ref="L10:N10"/>
    <mergeCell ref="K30:L30"/>
    <mergeCell ref="K31:L31"/>
    <mergeCell ref="K32:L32"/>
    <mergeCell ref="K29:L29"/>
    <mergeCell ref="C2:H2"/>
    <mergeCell ref="D7:E7"/>
    <mergeCell ref="G7:H7"/>
    <mergeCell ref="I10:K10"/>
    <mergeCell ref="G6:H6"/>
    <mergeCell ref="G4:H4"/>
    <mergeCell ref="D3:E3"/>
    <mergeCell ref="D4:E4"/>
    <mergeCell ref="C10:H10"/>
    <mergeCell ref="D5:E5"/>
    <mergeCell ref="D6:E6"/>
    <mergeCell ref="G3:H3"/>
    <mergeCell ref="G5:H5"/>
    <mergeCell ref="D8:E8"/>
    <mergeCell ref="G8:H8"/>
  </mergeCells>
  <conditionalFormatting sqref="M29">
    <cfRule type="expression" dxfId="6" priority="6">
      <formula>K29&lt;&gt;""</formula>
    </cfRule>
  </conditionalFormatting>
  <conditionalFormatting sqref="M32">
    <cfRule type="expression" dxfId="5" priority="5">
      <formula>$K$32&lt;&gt;""</formula>
    </cfRule>
  </conditionalFormatting>
  <conditionalFormatting sqref="M33">
    <cfRule type="expression" dxfId="4" priority="4">
      <formula>$K$33&lt;&gt;""</formula>
    </cfRule>
  </conditionalFormatting>
  <conditionalFormatting sqref="O30:O31">
    <cfRule type="expression" dxfId="3" priority="3">
      <formula>$M$31&gt;$M$30</formula>
    </cfRule>
    <cfRule type="expression" dxfId="2" priority="1">
      <formula>M30="N/A"</formula>
    </cfRule>
  </conditionalFormatting>
  <pageMargins left="0.7" right="0.7" top="0.75" bottom="0.75" header="0.3" footer="0.3"/>
  <pageSetup scale="6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'Sizing Factors'!$A$40:$A$44</xm:f>
          </x14:formula1>
          <xm:sqref>G7</xm:sqref>
        </x14:dataValidation>
        <x14:dataValidation type="list" allowBlank="1" showInputMessage="1" showErrorMessage="1">
          <x14:formula1>
            <xm:f>'Sizing Factors'!$A$8:$A$11</xm:f>
          </x14:formula1>
          <xm:sqref>E12:E26</xm:sqref>
        </x14:dataValidation>
        <x14:dataValidation type="list" allowBlank="1" showInputMessage="1" showErrorMessage="1">
          <x14:formula1>
            <xm:f>'Sizing Factors'!$A$30:$A$32</xm:f>
          </x14:formula1>
          <xm:sqref>F12:F26</xm:sqref>
        </x14:dataValidation>
        <x14:dataValidation type="list" allowBlank="1" showInputMessage="1" showErrorMessage="1">
          <x14:formula1>
            <xm:f>'Sizing Factors'!$A$15:$A$19</xm:f>
          </x14:formula1>
          <xm:sqref>D8:E8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113"/>
  <sheetViews>
    <sheetView showZeros="0" topLeftCell="B1" zoomScale="85" zoomScaleNormal="85" workbookViewId="0">
      <selection activeCell="D13" sqref="D13"/>
    </sheetView>
  </sheetViews>
  <sheetFormatPr defaultColWidth="9.140625" defaultRowHeight="15" x14ac:dyDescent="0.25"/>
  <cols>
    <col min="1" max="1" width="37" style="66" hidden="1" customWidth="1"/>
    <col min="2" max="2" width="20.7109375" style="136" customWidth="1"/>
    <col min="3" max="3" width="17.140625" style="136" customWidth="1"/>
    <col min="4" max="4" width="10.28515625" style="136" bestFit="1" customWidth="1"/>
    <col min="5" max="5" width="9.140625" style="136"/>
    <col min="6" max="6" width="18.7109375" style="136" customWidth="1"/>
    <col min="7" max="7" width="18.140625" style="136" customWidth="1"/>
    <col min="8" max="8" width="15.140625" style="136" customWidth="1"/>
    <col min="9" max="9" width="17.85546875" style="136" bestFit="1" customWidth="1"/>
    <col min="10" max="10" width="23.140625" style="137" bestFit="1" customWidth="1"/>
    <col min="11" max="11" width="14.5703125" style="137" customWidth="1"/>
    <col min="12" max="12" width="6.28515625" style="137" customWidth="1"/>
    <col min="13" max="13" width="17.28515625" style="137" customWidth="1"/>
    <col min="14" max="14" width="13.7109375" style="137" customWidth="1"/>
    <col min="15" max="15" width="8.140625" style="137" customWidth="1"/>
    <col min="16" max="16" width="19" style="137" customWidth="1"/>
    <col min="17" max="17" width="15.42578125" style="137" customWidth="1"/>
    <col min="18" max="18" width="16.140625" style="137" customWidth="1"/>
    <col min="19" max="19" width="17.5703125" style="137" customWidth="1"/>
    <col min="20" max="20" width="16.28515625" style="137" customWidth="1"/>
    <col min="21" max="21" width="12" style="136" customWidth="1"/>
    <col min="22" max="16384" width="9.140625" style="136"/>
  </cols>
  <sheetData>
    <row r="1" spans="1:21" ht="15.75" thickBot="1" x14ac:dyDescent="0.3">
      <c r="A1" s="136"/>
      <c r="J1" s="136"/>
      <c r="K1" s="136"/>
      <c r="L1" s="136"/>
      <c r="M1" s="136"/>
      <c r="N1" s="136"/>
      <c r="O1" s="136"/>
      <c r="P1" s="136"/>
      <c r="Q1" s="136"/>
      <c r="R1" s="136"/>
      <c r="S1" s="136"/>
      <c r="T1" s="136"/>
    </row>
    <row r="2" spans="1:21" ht="15.75" thickBot="1" x14ac:dyDescent="0.3">
      <c r="A2" s="136"/>
      <c r="C2" s="211" t="str">
        <f>'Project Info'!B2</f>
        <v>BMP Sizing Spreadsheet V1.04</v>
      </c>
      <c r="D2" s="212"/>
      <c r="E2" s="212"/>
      <c r="F2" s="212"/>
      <c r="G2" s="212"/>
      <c r="H2" s="213"/>
      <c r="J2" s="136"/>
      <c r="K2" s="136"/>
      <c r="L2" s="136"/>
      <c r="M2" s="136"/>
      <c r="N2" s="136"/>
      <c r="O2" s="136"/>
      <c r="P2" s="136"/>
      <c r="Q2" s="136"/>
      <c r="R2" s="136"/>
      <c r="S2" s="136"/>
      <c r="T2" s="136"/>
    </row>
    <row r="3" spans="1:21" x14ac:dyDescent="0.25">
      <c r="A3" s="136"/>
      <c r="C3" s="59" t="s">
        <v>38</v>
      </c>
      <c r="D3" s="214">
        <f>'Project Info'!C3</f>
        <v>0</v>
      </c>
      <c r="E3" s="214"/>
      <c r="F3" s="32" t="s">
        <v>43</v>
      </c>
      <c r="G3" s="190">
        <f>'Project Info'!C7</f>
        <v>0</v>
      </c>
      <c r="H3" s="191"/>
      <c r="J3" s="136"/>
      <c r="K3" s="136"/>
      <c r="L3" s="136"/>
      <c r="M3" s="136"/>
      <c r="N3" s="136"/>
      <c r="O3" s="136"/>
      <c r="P3" s="136"/>
      <c r="Q3" s="136"/>
      <c r="R3" s="136"/>
      <c r="S3" s="136"/>
      <c r="T3" s="136"/>
    </row>
    <row r="4" spans="1:21" x14ac:dyDescent="0.25">
      <c r="A4" s="136"/>
      <c r="C4" s="60" t="s">
        <v>39</v>
      </c>
      <c r="D4" s="190">
        <f>'Project Info'!C4</f>
        <v>0</v>
      </c>
      <c r="E4" s="190"/>
      <c r="F4" s="19" t="s">
        <v>42</v>
      </c>
      <c r="G4" s="190">
        <f>'Project Info'!C8</f>
        <v>0</v>
      </c>
      <c r="H4" s="191"/>
      <c r="J4" s="136"/>
      <c r="K4" s="136"/>
      <c r="L4" s="136"/>
      <c r="M4" s="136"/>
      <c r="N4" s="136"/>
      <c r="O4" s="136"/>
      <c r="P4" s="136"/>
      <c r="Q4" s="136"/>
      <c r="R4" s="136"/>
      <c r="S4" s="136"/>
      <c r="T4" s="136"/>
    </row>
    <row r="5" spans="1:21" x14ac:dyDescent="0.25">
      <c r="A5" s="136" t="str">
        <f>CONCATENATE($G$7)</f>
        <v>0</v>
      </c>
      <c r="C5" s="60" t="s">
        <v>40</v>
      </c>
      <c r="D5" s="190">
        <f>'Project Info'!C5</f>
        <v>0</v>
      </c>
      <c r="E5" s="190"/>
      <c r="F5" s="50" t="s">
        <v>44</v>
      </c>
      <c r="G5" s="190">
        <f>'Project Info'!C9</f>
        <v>0</v>
      </c>
      <c r="H5" s="191"/>
      <c r="J5" s="136"/>
      <c r="K5" s="136"/>
      <c r="L5" s="136"/>
      <c r="M5" s="136"/>
      <c r="N5" s="136"/>
      <c r="O5" s="136"/>
      <c r="P5" s="136"/>
      <c r="Q5" s="136"/>
      <c r="R5" s="136"/>
      <c r="S5" s="136"/>
      <c r="T5" s="136"/>
    </row>
    <row r="6" spans="1:21" ht="15.75" thickBot="1" x14ac:dyDescent="0.3">
      <c r="A6" s="136"/>
      <c r="C6" s="62" t="s">
        <v>41</v>
      </c>
      <c r="D6" s="215">
        <f>'Project Info'!C6</f>
        <v>0</v>
      </c>
      <c r="E6" s="215"/>
      <c r="F6" s="63" t="s">
        <v>47</v>
      </c>
      <c r="G6" s="215" t="str">
        <f>IF('Project Info'!C10="High", 'Sizing Factors'!A52, IF('Project Info'!C10="Medium", 'Sizing Factors'!A53, 'Sizing Factors'!A54))</f>
        <v>0.5Q2</v>
      </c>
      <c r="H6" s="216"/>
      <c r="J6" s="136"/>
      <c r="K6" s="136"/>
      <c r="L6" s="136"/>
      <c r="M6" s="136"/>
      <c r="N6" s="136"/>
      <c r="O6" s="136"/>
      <c r="P6" s="136"/>
      <c r="Q6" s="136"/>
      <c r="R6" s="136"/>
      <c r="S6" s="136"/>
      <c r="T6" s="136"/>
    </row>
    <row r="7" spans="1:21" ht="15.75" thickBot="1" x14ac:dyDescent="0.3">
      <c r="A7" s="136"/>
      <c r="C7" s="61" t="s">
        <v>97</v>
      </c>
      <c r="D7" s="217">
        <f>'BMP #1'!D7:E7</f>
        <v>0</v>
      </c>
      <c r="E7" s="217"/>
      <c r="F7" s="64" t="s">
        <v>46</v>
      </c>
      <c r="G7" s="217">
        <f>'BMP #1'!G7</f>
        <v>0</v>
      </c>
      <c r="H7" s="218"/>
      <c r="J7" s="136"/>
      <c r="K7" s="136"/>
      <c r="L7" s="136"/>
      <c r="M7" s="136"/>
      <c r="N7" s="136"/>
      <c r="O7" s="136"/>
      <c r="P7" s="136"/>
      <c r="Q7" s="136"/>
      <c r="R7" s="136"/>
      <c r="S7" s="136"/>
      <c r="T7" s="136"/>
    </row>
    <row r="9" spans="1:21" x14ac:dyDescent="0.25">
      <c r="J9" s="30"/>
      <c r="K9" s="136"/>
      <c r="L9" s="136"/>
      <c r="M9" s="30"/>
      <c r="P9" s="30">
        <f>IF(H9&gt;0,0.5*$H9*$G9*144/($D$46*(2*$F$46*$H$46)^0.5),0)</f>
        <v>0</v>
      </c>
      <c r="T9" s="28"/>
      <c r="U9" s="29"/>
    </row>
    <row r="10" spans="1:21" ht="15.75" thickBot="1" x14ac:dyDescent="0.3">
      <c r="J10" s="30"/>
      <c r="K10" s="136"/>
      <c r="L10" s="136"/>
      <c r="M10" s="30">
        <f>IF(H10&gt;0,0.3*$H10*$G10*144/($D$46*(2*$F$46*$H$46)^0.5),0)</f>
        <v>0</v>
      </c>
      <c r="P10" s="30">
        <f>IF(H10&gt;0,0.5*$H10*$G10*144/($D$46*(2*$F$46*$H$46)^0.5),0)</f>
        <v>0</v>
      </c>
      <c r="T10" s="28"/>
      <c r="U10" s="29"/>
    </row>
    <row r="11" spans="1:21" ht="18" x14ac:dyDescent="0.25">
      <c r="B11" s="208" t="s">
        <v>96</v>
      </c>
      <c r="C11" s="68" t="s">
        <v>4</v>
      </c>
      <c r="D11" s="192" t="s">
        <v>86</v>
      </c>
      <c r="E11" s="192"/>
      <c r="F11" s="192"/>
      <c r="G11" s="68" t="s">
        <v>26</v>
      </c>
      <c r="H11" s="68" t="s">
        <v>29</v>
      </c>
      <c r="I11" s="69" t="s">
        <v>88</v>
      </c>
      <c r="J11" s="70" t="s">
        <v>33</v>
      </c>
      <c r="K11" s="136"/>
      <c r="L11" s="136"/>
      <c r="M11" s="30"/>
      <c r="P11" s="30"/>
      <c r="T11" s="28"/>
      <c r="U11" s="29"/>
    </row>
    <row r="12" spans="1:21" ht="15.75" thickBot="1" x14ac:dyDescent="0.3">
      <c r="B12" s="209"/>
      <c r="C12" s="75"/>
      <c r="D12" s="76" t="s">
        <v>25</v>
      </c>
      <c r="E12" s="76" t="s">
        <v>6</v>
      </c>
      <c r="F12" s="76" t="s">
        <v>7</v>
      </c>
      <c r="G12" s="77" t="s">
        <v>11</v>
      </c>
      <c r="H12" s="75"/>
      <c r="I12" s="78" t="s">
        <v>87</v>
      </c>
      <c r="J12" s="79"/>
      <c r="K12" s="28"/>
      <c r="L12" s="28"/>
      <c r="M12" s="33"/>
      <c r="N12" s="31"/>
      <c r="O12" s="31"/>
      <c r="P12" s="33"/>
      <c r="Q12" s="31"/>
    </row>
    <row r="13" spans="1:21" ht="18.75" x14ac:dyDescent="0.3">
      <c r="A13" s="66" t="str">
        <f>CONCATENATE(C13,D13,E13,F13)</f>
        <v/>
      </c>
      <c r="B13" s="142">
        <f>'BMP #1'!C12</f>
        <v>0</v>
      </c>
      <c r="C13" s="161" t="str">
        <f>IF(H13=0,"",'Project Info'!$C$8)</f>
        <v/>
      </c>
      <c r="D13" s="162"/>
      <c r="E13" s="163"/>
      <c r="F13" s="163"/>
      <c r="G13" s="164">
        <f>IF(ISNA(VLOOKUP(A13,A$62:G$113,7,FALSE)),0,VLOOKUP(A13,A$62:G$113,7,FALSE))</f>
        <v>0</v>
      </c>
      <c r="H13" s="165">
        <f>'BMP #1'!D12/43560</f>
        <v>0</v>
      </c>
      <c r="I13" s="165">
        <f>IF('BMP #1'!$A$5="Infiltration","N/A",'Sizing Factors'!$A$55*$H13*$G13)</f>
        <v>0</v>
      </c>
      <c r="J13" s="127">
        <f>IF('BMP #1'!$A$5="Infiltration","N/A",IF('BMP #1'!$A$5="bioretention",I13*144/($D$46*(2*$F$46*1.5)^0.5),IF('BMP #1'!$A$5="flow-through planter",I13*144/($D$46*(2*$F$46*1.5)^0.5),IF('BMP #1'!$A$5="Bioretention plus cistern",I13*144/($D$46*(2*$F$46*('BMP #1'!$M$32*0.875/12))^0.5),I13*144/($D$46*(2*$F$46*('BMP #1'!$M$32*0.8/12))^0.5)))))</f>
        <v>0</v>
      </c>
      <c r="K13" s="30"/>
      <c r="L13" s="30"/>
      <c r="M13" s="34"/>
      <c r="N13" s="31"/>
      <c r="O13" s="31"/>
      <c r="P13" s="26" t="s">
        <v>92</v>
      </c>
      <c r="Q13" s="31"/>
    </row>
    <row r="14" spans="1:21" x14ac:dyDescent="0.25">
      <c r="A14" s="66" t="str">
        <f t="shared" ref="A14:A27" si="0">CONCATENATE(C14,D14,E14,F14)</f>
        <v/>
      </c>
      <c r="B14" s="143">
        <f>'BMP #1'!C13</f>
        <v>0</v>
      </c>
      <c r="C14" s="144" t="str">
        <f>IF(H14=0,"",'Project Info'!$C$8)</f>
        <v/>
      </c>
      <c r="D14" s="72"/>
      <c r="E14" s="73"/>
      <c r="F14" s="73"/>
      <c r="G14" s="110">
        <f t="shared" ref="G14:G27" si="1">IF(ISNA(VLOOKUP(A14,A$62:G$113,7,FALSE)),0,VLOOKUP(A14,A$62:G$113,7,FALSE))</f>
        <v>0</v>
      </c>
      <c r="H14" s="146">
        <f>'BMP #1'!D13/43560</f>
        <v>0</v>
      </c>
      <c r="I14" s="145">
        <f>IF('BMP #1'!$A$5="Infiltration","N/A",'Sizing Factors'!$A$55*$H14*$G14)</f>
        <v>0</v>
      </c>
      <c r="J14" s="74">
        <f>IF('BMP #1'!$A$5="Infiltration","N/A",IF('BMP #1'!$A$5="bioretention",I14*144/($D$46*(2*$F$46*1.5)^0.5),IF('BMP #1'!$A$5="flow-through planter",I14*144/($D$46*(2*$F$46*1.5)^0.5),IF('BMP #1'!$A$5="Bioretention plus cistern",I14*144/($D$46*(2*$F$46*('BMP #1'!$M$32*0.875/12))^0.5),I14*144/($D$46*(2*$F$46*('BMP #1'!$M$32*0.8/12))^0.5)))))</f>
        <v>0</v>
      </c>
      <c r="K14" s="136"/>
      <c r="L14" s="136"/>
      <c r="M14" s="34"/>
      <c r="N14" s="31"/>
      <c r="O14" s="31"/>
      <c r="P14" s="34"/>
      <c r="Q14" s="31"/>
    </row>
    <row r="15" spans="1:21" x14ac:dyDescent="0.25">
      <c r="A15" s="66" t="str">
        <f t="shared" si="0"/>
        <v/>
      </c>
      <c r="B15" s="71">
        <f>'BMP #1'!C14</f>
        <v>0</v>
      </c>
      <c r="C15" s="110" t="str">
        <f>IF(H15=0,"",'Project Info'!$C$8)</f>
        <v/>
      </c>
      <c r="D15" s="72"/>
      <c r="E15" s="73"/>
      <c r="F15" s="73"/>
      <c r="G15" s="110">
        <f>IF(ISNA(VLOOKUP(A15,A$62:G$113,7,FALSE)),0,VLOOKUP(A15,A$62:G$113,7,FALSE))</f>
        <v>0</v>
      </c>
      <c r="H15" s="146">
        <f>'BMP #1'!D14/43560</f>
        <v>0</v>
      </c>
      <c r="I15" s="145">
        <f>IF('BMP #1'!$A$5="Infiltration","N/A",'Sizing Factors'!$A$55*$H15*$G15)</f>
        <v>0</v>
      </c>
      <c r="J15" s="74">
        <f>IF('BMP #1'!$A$5="Infiltration","N/A",IF('BMP #1'!$A$5="bioretention",I15*144/($D$46*(2*$F$46*1.5)^0.5),IF('BMP #1'!$A$5="flow-through planter",I15*144/($D$46*(2*$F$46*1.5)^0.5),IF('BMP #1'!$A$5="Bioretention plus cistern",I15*144/($D$46*(2*$F$46*('BMP #1'!$M$32*0.875/12))^0.5),I15*144/($D$46*(2*$F$46*('BMP #1'!$M$32*0.8/12))^0.5)))))</f>
        <v>0</v>
      </c>
      <c r="K15" s="136"/>
      <c r="L15" s="136"/>
      <c r="M15" s="34"/>
      <c r="N15" s="31"/>
      <c r="O15" s="31"/>
      <c r="P15" s="34"/>
      <c r="Q15" s="31"/>
    </row>
    <row r="16" spans="1:21" x14ac:dyDescent="0.25">
      <c r="A16" s="66" t="str">
        <f t="shared" si="0"/>
        <v/>
      </c>
      <c r="B16" s="71">
        <f>'BMP #1'!C15</f>
        <v>0</v>
      </c>
      <c r="C16" s="110" t="str">
        <f>IF(H16=0,"",'Project Info'!$C$8)</f>
        <v/>
      </c>
      <c r="D16" s="72"/>
      <c r="E16" s="73"/>
      <c r="F16" s="73"/>
      <c r="G16" s="110">
        <f t="shared" si="1"/>
        <v>0</v>
      </c>
      <c r="H16" s="146">
        <f>'BMP #1'!D15/43560</f>
        <v>0</v>
      </c>
      <c r="I16" s="145">
        <f>IF('BMP #1'!$A$5="Infiltration","N/A",'Sizing Factors'!$A$55*$H16*$G16)</f>
        <v>0</v>
      </c>
      <c r="J16" s="74">
        <f>IF('BMP #1'!$A$5="Infiltration","N/A",IF('BMP #1'!$A$5="bioretention",I16*144/($D$46*(2*$F$46*1.5)^0.5),IF('BMP #1'!$A$5="flow-through planter",I16*144/($D$46*(2*$F$46*1.5)^0.5),IF('BMP #1'!$A$5="Bioretention plus cistern",I16*144/($D$46*(2*$F$46*('BMP #1'!$M$32*0.875/12))^0.5),I16*144/($D$46*(2*$F$46*('BMP #1'!$M$32*0.8/12))^0.5)))))</f>
        <v>0</v>
      </c>
      <c r="K16" s="136"/>
      <c r="L16" s="136"/>
      <c r="M16" s="34"/>
      <c r="N16" s="31"/>
      <c r="O16" s="31"/>
      <c r="P16" s="34"/>
      <c r="Q16" s="31"/>
    </row>
    <row r="17" spans="1:17" x14ac:dyDescent="0.25">
      <c r="A17" s="66" t="str">
        <f>CONCATENATE(C17,D17,E17,F17)</f>
        <v/>
      </c>
      <c r="B17" s="71">
        <f>'BMP #1'!C16</f>
        <v>0</v>
      </c>
      <c r="C17" s="110" t="str">
        <f>IF(H17=0,"",'Project Info'!$C$8)</f>
        <v/>
      </c>
      <c r="D17" s="72"/>
      <c r="E17" s="73"/>
      <c r="F17" s="73"/>
      <c r="G17" s="110">
        <f t="shared" si="1"/>
        <v>0</v>
      </c>
      <c r="H17" s="146">
        <f>'BMP #1'!D16/43560</f>
        <v>0</v>
      </c>
      <c r="I17" s="145">
        <f>IF('BMP #1'!$A$5="Infiltration","N/A",'Sizing Factors'!$A$55*$H17*$G17)</f>
        <v>0</v>
      </c>
      <c r="J17" s="74">
        <f>IF('BMP #1'!$A$5="Infiltration","N/A",IF('BMP #1'!$A$5="bioretention",I17*144/($D$46*(2*$F$46*1.5)^0.5),IF('BMP #1'!$A$5="flow-through planter",I17*144/($D$46*(2*$F$46*1.5)^0.5),IF('BMP #1'!$A$5="Bioretention plus cistern",I17*144/($D$46*(2*$F$46*('BMP #1'!$M$32*0.875/12))^0.5),I17*144/($D$46*(2*$F$46*('BMP #1'!$M$32*0.8/12))^0.5)))))</f>
        <v>0</v>
      </c>
      <c r="K17" s="136"/>
      <c r="L17" s="136"/>
      <c r="M17" s="34"/>
      <c r="N17" s="31"/>
      <c r="O17" s="31"/>
      <c r="P17" s="34"/>
      <c r="Q17" s="31"/>
    </row>
    <row r="18" spans="1:17" x14ac:dyDescent="0.25">
      <c r="A18" s="66" t="str">
        <f t="shared" ref="A18:A22" si="2">CONCATENATE(C18,D18,E18,F18)</f>
        <v/>
      </c>
      <c r="B18" s="71">
        <f>'BMP #1'!C17</f>
        <v>0</v>
      </c>
      <c r="C18" s="110" t="str">
        <f>IF(H18=0,"",'Project Info'!$C$8)</f>
        <v/>
      </c>
      <c r="D18" s="72"/>
      <c r="E18" s="73"/>
      <c r="F18" s="73"/>
      <c r="G18" s="110">
        <f t="shared" ref="G18:G22" si="3">IF(ISNA(VLOOKUP(A18,A$62:G$113,7,FALSE)),0,VLOOKUP(A18,A$62:G$113,7,FALSE))</f>
        <v>0</v>
      </c>
      <c r="H18" s="146">
        <f>'BMP #1'!D17/43560</f>
        <v>0</v>
      </c>
      <c r="I18" s="145">
        <f>IF('BMP #1'!$A$5="Infiltration","N/A",'Sizing Factors'!$A$55*$H18*$G18)</f>
        <v>0</v>
      </c>
      <c r="J18" s="74">
        <f>IF('BMP #1'!$A$5="Infiltration","N/A",IF('BMP #1'!$A$5="bioretention",I18*144/($D$46*(2*$F$46*1.5)^0.5),IF('BMP #1'!$A$5="flow-through planter",I18*144/($D$46*(2*$F$46*1.5)^0.5),IF('BMP #1'!$A$5="Bioretention plus cistern",I18*144/($D$46*(2*$F$46*('BMP #1'!$M$32*0.875/12))^0.5),I18*144/($D$46*(2*$F$46*('BMP #1'!$M$32*0.8/12))^0.5)))))</f>
        <v>0</v>
      </c>
      <c r="K18" s="136"/>
      <c r="L18" s="136"/>
      <c r="M18" s="34"/>
      <c r="N18" s="31"/>
      <c r="O18" s="31"/>
      <c r="P18" s="34"/>
      <c r="Q18" s="31"/>
    </row>
    <row r="19" spans="1:17" x14ac:dyDescent="0.25">
      <c r="A19" s="66" t="str">
        <f t="shared" si="2"/>
        <v/>
      </c>
      <c r="B19" s="71">
        <f>'BMP #1'!C18</f>
        <v>0</v>
      </c>
      <c r="C19" s="110" t="str">
        <f>IF(H19=0,"",'Project Info'!$C$8)</f>
        <v/>
      </c>
      <c r="D19" s="72"/>
      <c r="E19" s="73"/>
      <c r="F19" s="73"/>
      <c r="G19" s="110">
        <f t="shared" si="3"/>
        <v>0</v>
      </c>
      <c r="H19" s="146">
        <f>'BMP #1'!D18/43560</f>
        <v>0</v>
      </c>
      <c r="I19" s="145">
        <f>IF('BMP #1'!$A$5="Infiltration","N/A",'Sizing Factors'!$A$55*$H19*$G19)</f>
        <v>0</v>
      </c>
      <c r="J19" s="74">
        <f>IF('BMP #1'!$A$5="Infiltration","N/A",IF('BMP #1'!$A$5="bioretention",I19*144/($D$46*(2*$F$46*1.5)^0.5),IF('BMP #1'!$A$5="flow-through planter",I19*144/($D$46*(2*$F$46*1.5)^0.5),IF('BMP #1'!$A$5="Bioretention plus cistern",I19*144/($D$46*(2*$F$46*('BMP #1'!$M$32*0.875/12))^0.5),I19*144/($D$46*(2*$F$46*('BMP #1'!$M$32*0.8/12))^0.5)))))</f>
        <v>0</v>
      </c>
      <c r="K19" s="136"/>
      <c r="L19" s="136"/>
      <c r="M19" s="34"/>
      <c r="N19" s="31"/>
      <c r="O19" s="31"/>
      <c r="P19" s="34"/>
      <c r="Q19" s="31"/>
    </row>
    <row r="20" spans="1:17" x14ac:dyDescent="0.25">
      <c r="A20" s="66" t="str">
        <f t="shared" si="2"/>
        <v/>
      </c>
      <c r="B20" s="71">
        <f>'BMP #1'!C19</f>
        <v>0</v>
      </c>
      <c r="C20" s="110" t="str">
        <f>IF(H20=0,"",'Project Info'!$C$8)</f>
        <v/>
      </c>
      <c r="D20" s="72"/>
      <c r="E20" s="73"/>
      <c r="F20" s="73"/>
      <c r="G20" s="110">
        <f t="shared" si="3"/>
        <v>0</v>
      </c>
      <c r="H20" s="146">
        <f>'BMP #1'!D19/43560</f>
        <v>0</v>
      </c>
      <c r="I20" s="145">
        <f>IF('BMP #1'!$A$5="Infiltration","N/A",'Sizing Factors'!$A$55*$H20*$G20)</f>
        <v>0</v>
      </c>
      <c r="J20" s="74">
        <f>IF('BMP #1'!$A$5="Infiltration","N/A",IF('BMP #1'!$A$5="bioretention",I20*144/($D$46*(2*$F$46*1.5)^0.5),IF('BMP #1'!$A$5="flow-through planter",I20*144/($D$46*(2*$F$46*1.5)^0.5),IF('BMP #1'!$A$5="Bioretention plus cistern",I20*144/($D$46*(2*$F$46*('BMP #1'!$M$32*0.875/12))^0.5),I20*144/($D$46*(2*$F$46*('BMP #1'!$M$32*0.8/12))^0.5)))))</f>
        <v>0</v>
      </c>
      <c r="K20" s="136"/>
      <c r="L20" s="136"/>
      <c r="M20" s="34"/>
      <c r="N20" s="31"/>
      <c r="O20" s="31"/>
      <c r="P20" s="34"/>
      <c r="Q20" s="31"/>
    </row>
    <row r="21" spans="1:17" x14ac:dyDescent="0.25">
      <c r="A21" s="66" t="str">
        <f t="shared" si="2"/>
        <v/>
      </c>
      <c r="B21" s="71">
        <f>'BMP #1'!C20</f>
        <v>0</v>
      </c>
      <c r="C21" s="110" t="str">
        <f>IF(H21=0,"",'Project Info'!$C$8)</f>
        <v/>
      </c>
      <c r="D21" s="72"/>
      <c r="E21" s="73"/>
      <c r="F21" s="73"/>
      <c r="G21" s="110">
        <f t="shared" si="3"/>
        <v>0</v>
      </c>
      <c r="H21" s="146">
        <f>'BMP #1'!D20/43560</f>
        <v>0</v>
      </c>
      <c r="I21" s="145">
        <f>IF('BMP #1'!$A$5="Infiltration","N/A",'Sizing Factors'!$A$55*$H21*$G21)</f>
        <v>0</v>
      </c>
      <c r="J21" s="74">
        <f>IF('BMP #1'!$A$5="Infiltration","N/A",IF('BMP #1'!$A$5="bioretention",I21*144/($D$46*(2*$F$46*1.5)^0.5),IF('BMP #1'!$A$5="flow-through planter",I21*144/($D$46*(2*$F$46*1.5)^0.5),IF('BMP #1'!$A$5="Bioretention plus cistern",I21*144/($D$46*(2*$F$46*('BMP #1'!$M$32*0.875/12))^0.5),I21*144/($D$46*(2*$F$46*('BMP #1'!$M$32*0.8/12))^0.5)))))</f>
        <v>0</v>
      </c>
      <c r="K21" s="136"/>
      <c r="L21" s="136"/>
      <c r="M21" s="34"/>
      <c r="N21" s="31"/>
      <c r="O21" s="31"/>
      <c r="P21" s="34"/>
      <c r="Q21" s="31"/>
    </row>
    <row r="22" spans="1:17" x14ac:dyDescent="0.25">
      <c r="A22" s="66" t="str">
        <f t="shared" si="2"/>
        <v/>
      </c>
      <c r="B22" s="71">
        <f>'BMP #1'!C21</f>
        <v>0</v>
      </c>
      <c r="C22" s="110" t="str">
        <f>IF(H22=0,"",'Project Info'!$C$8)</f>
        <v/>
      </c>
      <c r="D22" s="72"/>
      <c r="E22" s="73"/>
      <c r="F22" s="73"/>
      <c r="G22" s="110">
        <f t="shared" si="3"/>
        <v>0</v>
      </c>
      <c r="H22" s="146">
        <f>'BMP #1'!D21/43560</f>
        <v>0</v>
      </c>
      <c r="I22" s="145">
        <f>IF('BMP #1'!$A$5="Infiltration","N/A",'Sizing Factors'!$A$55*$H22*$G22)</f>
        <v>0</v>
      </c>
      <c r="J22" s="74">
        <f>IF('BMP #1'!$A$5="Infiltration","N/A",IF('BMP #1'!$A$5="bioretention",I22*144/($D$46*(2*$F$46*1.5)^0.5),IF('BMP #1'!$A$5="flow-through planter",I22*144/($D$46*(2*$F$46*1.5)^0.5),IF('BMP #1'!$A$5="Bioretention plus cistern",I22*144/($D$46*(2*$F$46*('BMP #1'!$M$32*0.875/12))^0.5),I22*144/($D$46*(2*$F$46*('BMP #1'!$M$32*0.8/12))^0.5)))))</f>
        <v>0</v>
      </c>
      <c r="K22" s="136"/>
      <c r="L22" s="136"/>
      <c r="M22" s="34"/>
      <c r="N22" s="31"/>
      <c r="O22" s="31"/>
      <c r="P22" s="34"/>
      <c r="Q22" s="31"/>
    </row>
    <row r="23" spans="1:17" x14ac:dyDescent="0.25">
      <c r="A23" s="66" t="str">
        <f t="shared" si="0"/>
        <v/>
      </c>
      <c r="B23" s="71">
        <f>'BMP #1'!C22</f>
        <v>0</v>
      </c>
      <c r="C23" s="110" t="str">
        <f>IF(H23=0,"",'Project Info'!$C$8)</f>
        <v/>
      </c>
      <c r="D23" s="72"/>
      <c r="E23" s="73"/>
      <c r="F23" s="73"/>
      <c r="G23" s="110">
        <f t="shared" si="1"/>
        <v>0</v>
      </c>
      <c r="H23" s="146">
        <f>'BMP #1'!D22/43560</f>
        <v>0</v>
      </c>
      <c r="I23" s="145">
        <f>IF('BMP #1'!$A$5="Infiltration","N/A",'Sizing Factors'!$A$55*$H23*$G23)</f>
        <v>0</v>
      </c>
      <c r="J23" s="74">
        <f>IF('BMP #1'!$A$5="Infiltration","N/A",IF('BMP #1'!$A$5="bioretention",I23*144/($D$46*(2*$F$46*1.5)^0.5),IF('BMP #1'!$A$5="flow-through planter",I23*144/($D$46*(2*$F$46*1.5)^0.5),IF('BMP #1'!$A$5="Bioretention plus cistern",I23*144/($D$46*(2*$F$46*('BMP #1'!$M$32*0.875/12))^0.5),I23*144/($D$46*(2*$F$46*('BMP #1'!$M$32*0.8/12))^0.5)))))</f>
        <v>0</v>
      </c>
      <c r="K23" s="136"/>
      <c r="L23" s="136"/>
      <c r="M23" s="34"/>
      <c r="N23" s="31"/>
      <c r="O23" s="31"/>
      <c r="P23" s="34"/>
      <c r="Q23" s="31"/>
    </row>
    <row r="24" spans="1:17" x14ac:dyDescent="0.25">
      <c r="A24" s="66" t="str">
        <f t="shared" si="0"/>
        <v/>
      </c>
      <c r="B24" s="71">
        <f>'BMP #1'!C23</f>
        <v>0</v>
      </c>
      <c r="C24" s="110" t="str">
        <f>IF(H24=0,"",'Project Info'!$C$8)</f>
        <v/>
      </c>
      <c r="D24" s="72"/>
      <c r="E24" s="73"/>
      <c r="F24" s="73"/>
      <c r="G24" s="110">
        <f t="shared" si="1"/>
        <v>0</v>
      </c>
      <c r="H24" s="146">
        <f>'BMP #1'!D23/43560</f>
        <v>0</v>
      </c>
      <c r="I24" s="145">
        <f>IF('BMP #1'!$A$5="Infiltration","N/A",'Sizing Factors'!$A$55*$H24*$G24)</f>
        <v>0</v>
      </c>
      <c r="J24" s="74">
        <f>IF('BMP #1'!$A$5="Infiltration","N/A",IF('BMP #1'!$A$5="bioretention",I24*144/($D$46*(2*$F$46*1.5)^0.5),IF('BMP #1'!$A$5="flow-through planter",I24*144/($D$46*(2*$F$46*1.5)^0.5),IF('BMP #1'!$A$5="Bioretention plus cistern",I24*144/($D$46*(2*$F$46*('BMP #1'!$M$32*0.875/12))^0.5),I24*144/($D$46*(2*$F$46*('BMP #1'!$M$32*0.8/12))^0.5)))))</f>
        <v>0</v>
      </c>
      <c r="K24" s="136"/>
      <c r="L24" s="136"/>
      <c r="M24" s="34"/>
      <c r="N24" s="31"/>
      <c r="O24" s="31"/>
      <c r="Q24" s="31"/>
    </row>
    <row r="25" spans="1:17" x14ac:dyDescent="0.25">
      <c r="A25" s="66" t="str">
        <f t="shared" si="0"/>
        <v/>
      </c>
      <c r="B25" s="71">
        <f>'BMP #1'!C24</f>
        <v>0</v>
      </c>
      <c r="C25" s="110" t="str">
        <f>IF(H25=0,"",'Project Info'!$C$8)</f>
        <v/>
      </c>
      <c r="D25" s="72"/>
      <c r="E25" s="73"/>
      <c r="F25" s="73"/>
      <c r="G25" s="110">
        <f t="shared" si="1"/>
        <v>0</v>
      </c>
      <c r="H25" s="146">
        <f>'BMP #1'!D24/43560</f>
        <v>0</v>
      </c>
      <c r="I25" s="145">
        <f>IF('BMP #1'!$A$5="Infiltration","N/A",'Sizing Factors'!$A$55*$H25*$G25)</f>
        <v>0</v>
      </c>
      <c r="J25" s="74">
        <f>IF('BMP #1'!$A$5="Infiltration","N/A",IF('BMP #1'!$A$5="bioretention",I25*144/($D$46*(2*$F$46*1.5)^0.5),IF('BMP #1'!$A$5="flow-through planter",I25*144/($D$46*(2*$F$46*1.5)^0.5),IF('BMP #1'!$A$5="Bioretention plus cistern",I25*144/($D$46*(2*$F$46*('BMP #1'!$M$32*0.875/12))^0.5),I25*144/($D$46*(2*$F$46*('BMP #1'!$M$32*0.8/12))^0.5)))))</f>
        <v>0</v>
      </c>
      <c r="K25" s="136"/>
      <c r="L25" s="136"/>
      <c r="M25" s="34"/>
      <c r="N25" s="31"/>
      <c r="O25" s="31"/>
      <c r="P25" s="34"/>
      <c r="Q25" s="31"/>
    </row>
    <row r="26" spans="1:17" x14ac:dyDescent="0.25">
      <c r="A26" s="66" t="str">
        <f t="shared" si="0"/>
        <v/>
      </c>
      <c r="B26" s="71">
        <f>'BMP #1'!C25</f>
        <v>0</v>
      </c>
      <c r="C26" s="110" t="str">
        <f>IF(H26=0,"",'Project Info'!$C$8)</f>
        <v/>
      </c>
      <c r="D26" s="72"/>
      <c r="E26" s="73"/>
      <c r="F26" s="73"/>
      <c r="G26" s="110">
        <f t="shared" si="1"/>
        <v>0</v>
      </c>
      <c r="H26" s="146">
        <f>'BMP #1'!D25/43560</f>
        <v>0</v>
      </c>
      <c r="I26" s="145">
        <f>IF('BMP #1'!$A$5="Infiltration","N/A",'Sizing Factors'!$A$55*$H26*$G26)</f>
        <v>0</v>
      </c>
      <c r="J26" s="74">
        <f>IF('BMP #1'!$A$5="Infiltration","N/A",IF('BMP #1'!$A$5="bioretention",I26*144/($D$46*(2*$F$46*1.5)^0.5),IF('BMP #1'!$A$5="flow-through planter",I26*144/($D$46*(2*$F$46*1.5)^0.5),IF('BMP #1'!$A$5="Bioretention plus cistern",I26*144/($D$46*(2*$F$46*('BMP #1'!$M$32*0.875/12))^0.5),I26*144/($D$46*(2*$F$46*('BMP #1'!$M$32*0.8/12))^0.5)))))</f>
        <v>0</v>
      </c>
      <c r="K26" s="136"/>
      <c r="L26" s="136"/>
      <c r="M26" s="34"/>
      <c r="N26" s="31"/>
      <c r="O26" s="31"/>
      <c r="P26" s="34"/>
      <c r="Q26" s="31"/>
    </row>
    <row r="27" spans="1:17" ht="15.75" thickBot="1" x14ac:dyDescent="0.3">
      <c r="A27" s="66" t="str">
        <f t="shared" si="0"/>
        <v/>
      </c>
      <c r="B27" s="149">
        <f>'BMP #1'!C26</f>
        <v>0</v>
      </c>
      <c r="C27" s="116" t="str">
        <f>IF(H27=0,"",'Project Info'!$C$8)</f>
        <v/>
      </c>
      <c r="D27" s="166"/>
      <c r="E27" s="167"/>
      <c r="F27" s="167"/>
      <c r="G27" s="116">
        <f t="shared" si="1"/>
        <v>0</v>
      </c>
      <c r="H27" s="156">
        <f>'BMP #1'!D26/43560</f>
        <v>0</v>
      </c>
      <c r="I27" s="157">
        <f>IF('BMP #1'!$A$5="Infiltration","N/A",'Sizing Factors'!$A$55*$H27*$G27)</f>
        <v>0</v>
      </c>
      <c r="J27" s="158">
        <f>IF('BMP #1'!$A$5="Infiltration","N/A",IF('BMP #1'!$A$5="bioretention",I27*144/($D$46*(2*$F$46*1.5)^0.5),IF('BMP #1'!$A$5="flow-through planter",I27*144/($D$46*(2*$F$46*1.5)^0.5),IF('BMP #1'!$A$5="Bioretention plus cistern",I27*144/($D$46*(2*$F$46*('BMP #1'!$M$32*0.875/12))^0.5),I27*144/($D$46*(2*$F$46*('BMP #1'!$M$32*0.8/12))^0.5)))))</f>
        <v>0</v>
      </c>
      <c r="K27" s="136"/>
      <c r="L27" s="136"/>
      <c r="M27" s="34"/>
      <c r="N27" s="31"/>
      <c r="O27" s="31"/>
      <c r="P27" s="34"/>
      <c r="Q27" s="31"/>
    </row>
    <row r="28" spans="1:17" ht="15.75" thickBot="1" x14ac:dyDescent="0.3">
      <c r="B28" s="137"/>
      <c r="C28" s="137"/>
      <c r="D28" s="137"/>
      <c r="E28" s="137"/>
      <c r="F28" s="137"/>
      <c r="G28" s="137"/>
      <c r="H28" s="137"/>
      <c r="I28" s="137"/>
      <c r="K28" s="136"/>
      <c r="L28" s="136"/>
      <c r="M28" s="35"/>
      <c r="N28" s="22"/>
      <c r="P28" s="22"/>
      <c r="Q28" s="22"/>
    </row>
    <row r="29" spans="1:17" ht="15.75" x14ac:dyDescent="0.25">
      <c r="B29" s="137"/>
      <c r="C29" s="137"/>
      <c r="D29" s="137"/>
      <c r="E29" s="137"/>
      <c r="F29" s="137"/>
      <c r="G29" s="137"/>
      <c r="H29" s="137"/>
      <c r="I29" s="95">
        <f>IF('BMP #1'!A5="Infiltration","N/A",SUM(I13:I28))</f>
        <v>0</v>
      </c>
      <c r="J29" s="169">
        <f>IF('BMP #1'!$A$5="Infiltration","N/A",IF('BMP #1'!$A$5="bioretention",I29*144/($D$46*(2*$F$46*1.5)^0.5),IF('BMP #1'!$A$5="flow-through planter",I29*144/($D$46*(2*$F$46*1.5)^0.5),IF('BMP #1'!$A$5="Bioretention plus cistern",I29*144/($D$46*(2*$F$46*('BMP #1'!$M$32*0.875/12))^0.5),I29*144/($D$46*(2*$F$46*('BMP #1'!$M$32*0.8/12))^0.5)))))</f>
        <v>0</v>
      </c>
      <c r="K29" s="96">
        <f>IF('BMP #1'!A5="Infiltration","N/A",2*(J29/PI())^0.5)</f>
        <v>0</v>
      </c>
      <c r="L29" s="36"/>
      <c r="M29" s="37"/>
      <c r="O29" s="136"/>
      <c r="P29" s="37"/>
      <c r="Q29" s="37"/>
    </row>
    <row r="30" spans="1:17" ht="31.5" x14ac:dyDescent="0.25">
      <c r="B30" s="137"/>
      <c r="C30" s="137"/>
      <c r="D30" s="137"/>
      <c r="E30" s="137"/>
      <c r="F30" s="137"/>
      <c r="G30" s="137"/>
      <c r="H30" s="137"/>
      <c r="I30" s="93" t="s">
        <v>100</v>
      </c>
      <c r="J30" s="94" t="s">
        <v>101</v>
      </c>
      <c r="K30" s="125" t="s">
        <v>110</v>
      </c>
      <c r="L30" s="36"/>
      <c r="M30" s="37"/>
      <c r="N30" s="37"/>
      <c r="O30" s="37"/>
      <c r="P30" s="37"/>
      <c r="Q30" s="37"/>
    </row>
    <row r="31" spans="1:17" ht="16.5" thickBot="1" x14ac:dyDescent="0.3">
      <c r="B31" s="137"/>
      <c r="C31" s="137"/>
      <c r="D31" s="137"/>
      <c r="E31" s="137"/>
      <c r="F31" s="137"/>
      <c r="G31" s="137"/>
      <c r="H31" s="137"/>
      <c r="I31" s="38" t="s">
        <v>87</v>
      </c>
      <c r="J31" s="38" t="s">
        <v>89</v>
      </c>
      <c r="K31" s="38" t="s">
        <v>90</v>
      </c>
      <c r="L31" s="39"/>
      <c r="M31" s="39"/>
      <c r="N31" s="39"/>
      <c r="O31" s="39"/>
      <c r="P31" s="39"/>
      <c r="Q31" s="39"/>
    </row>
    <row r="32" spans="1:17" ht="16.5" thickBot="1" x14ac:dyDescent="0.3">
      <c r="B32" s="137"/>
      <c r="C32" s="137"/>
      <c r="D32" s="137"/>
      <c r="E32" s="137"/>
      <c r="F32" s="137"/>
      <c r="G32" s="137"/>
      <c r="H32" s="137"/>
      <c r="I32" s="33"/>
      <c r="J32" s="39"/>
      <c r="K32" s="39"/>
      <c r="L32" s="39"/>
      <c r="M32" s="39"/>
      <c r="N32" s="39"/>
      <c r="O32" s="39"/>
      <c r="P32" s="39"/>
      <c r="Q32" s="39"/>
    </row>
    <row r="33" spans="2:17" ht="15.75" x14ac:dyDescent="0.25">
      <c r="I33" s="95">
        <f>IF('BMP #1'!G7="bioretention",(J33/144)*D46*(2*F46*1.5)^0.5,IF('BMP #1'!G7="flow-through planter",(J33/144)*D46*(2*F46*1.5)^0.5,(J33/144)*D46*(2*F46*('BMP #1'!M32/12))^0.5))</f>
        <v>0</v>
      </c>
      <c r="J33" s="126">
        <f>(PI()*(K33/2)^2)</f>
        <v>0</v>
      </c>
      <c r="K33" s="141"/>
      <c r="M33" s="31"/>
      <c r="N33" s="31"/>
      <c r="O33" s="31"/>
      <c r="P33" s="31"/>
      <c r="Q33" s="31"/>
    </row>
    <row r="34" spans="2:17" ht="45" x14ac:dyDescent="0.25">
      <c r="I34" s="121" t="s">
        <v>102</v>
      </c>
      <c r="J34" s="122" t="s">
        <v>104</v>
      </c>
      <c r="K34" s="123" t="s">
        <v>103</v>
      </c>
      <c r="M34" s="31"/>
      <c r="N34" s="31"/>
      <c r="O34" s="31"/>
      <c r="P34" s="31"/>
      <c r="Q34" s="31"/>
    </row>
    <row r="35" spans="2:17" ht="15.75" thickBot="1" x14ac:dyDescent="0.3">
      <c r="I35" s="124" t="s">
        <v>87</v>
      </c>
      <c r="J35" s="124" t="s">
        <v>89</v>
      </c>
      <c r="K35" s="124" t="s">
        <v>90</v>
      </c>
      <c r="M35" s="31"/>
      <c r="N35" s="31"/>
      <c r="O35" s="31"/>
      <c r="P35" s="31"/>
      <c r="Q35" s="31"/>
    </row>
    <row r="36" spans="2:17" ht="19.5" thickBot="1" x14ac:dyDescent="0.35">
      <c r="I36" s="33"/>
      <c r="J36" s="39"/>
      <c r="K36" s="39"/>
      <c r="M36" s="31"/>
      <c r="N36" s="31"/>
      <c r="O36" s="31"/>
      <c r="P36" s="26" t="s">
        <v>58</v>
      </c>
      <c r="Q36" s="31"/>
    </row>
    <row r="37" spans="2:17" ht="15.75" thickBot="1" x14ac:dyDescent="0.3">
      <c r="H37" s="27"/>
      <c r="J37" s="40" t="s">
        <v>85</v>
      </c>
      <c r="K37" s="41" t="str">
        <f>IFERROR(IF('BMP #1'!A5="Bioretention",(('BMP #1'!M32/12*'BMP #1'!L28)/I33)/3600,IF('BMP #1'!A5="Flow-Through Planter",(('BMP #1'!M32/12*'BMP #1'!L28)/I33)/3600,IF('BMP #1'!A5="infiltration",'BMP #1'!M32/'BMP #1'!G8,('BMP #1'!M33/(I33/2))/3600))),"N/A")</f>
        <v>N/A</v>
      </c>
      <c r="M37" s="31"/>
      <c r="N37" s="31"/>
      <c r="O37" s="31"/>
      <c r="P37" s="31"/>
      <c r="Q37" s="31"/>
    </row>
    <row r="38" spans="2:17" ht="54.6" customHeight="1" x14ac:dyDescent="0.25">
      <c r="J38" s="204" t="s">
        <v>153</v>
      </c>
      <c r="K38" s="204"/>
      <c r="M38" s="31"/>
      <c r="N38" s="31"/>
      <c r="O38" s="31"/>
      <c r="P38" s="31"/>
      <c r="Q38" s="31"/>
    </row>
    <row r="39" spans="2:17" ht="18" customHeight="1" x14ac:dyDescent="0.25">
      <c r="J39" s="139"/>
      <c r="K39" s="139"/>
      <c r="M39" s="31"/>
      <c r="N39" s="31"/>
      <c r="O39" s="31"/>
      <c r="P39" s="31"/>
      <c r="Q39" s="31"/>
    </row>
    <row r="40" spans="2:17" ht="18" customHeight="1" x14ac:dyDescent="0.25">
      <c r="C40" s="140" t="s">
        <v>139</v>
      </c>
      <c r="J40" s="139"/>
      <c r="K40" s="139"/>
      <c r="M40" s="31"/>
      <c r="N40" s="31"/>
      <c r="O40" s="31"/>
      <c r="P40" s="31"/>
      <c r="Q40" s="31"/>
    </row>
    <row r="41" spans="2:17" ht="18" customHeight="1" x14ac:dyDescent="0.3">
      <c r="B41" s="90" t="s">
        <v>1</v>
      </c>
      <c r="C41" s="24" t="s">
        <v>0</v>
      </c>
      <c r="F41" s="136" t="s">
        <v>32</v>
      </c>
      <c r="J41" s="139"/>
      <c r="K41" s="139"/>
      <c r="M41" s="31"/>
      <c r="N41" s="31"/>
      <c r="O41" s="31"/>
      <c r="P41" s="31"/>
      <c r="Q41" s="31"/>
    </row>
    <row r="42" spans="2:17" ht="18" customHeight="1" x14ac:dyDescent="0.25">
      <c r="B42" s="27"/>
      <c r="J42" s="139"/>
      <c r="K42" s="139"/>
      <c r="M42" s="31"/>
      <c r="N42" s="31"/>
      <c r="O42" s="31"/>
      <c r="P42" s="31"/>
      <c r="Q42" s="31"/>
    </row>
    <row r="43" spans="2:17" ht="18" customHeight="1" x14ac:dyDescent="0.25">
      <c r="B43" s="27"/>
      <c r="J43" s="139"/>
      <c r="K43" s="139"/>
      <c r="M43" s="31"/>
      <c r="N43" s="31"/>
      <c r="O43" s="31"/>
      <c r="P43" s="31"/>
      <c r="Q43" s="31"/>
    </row>
    <row r="44" spans="2:17" ht="18" customHeight="1" x14ac:dyDescent="0.3">
      <c r="B44" s="90" t="s">
        <v>2</v>
      </c>
      <c r="C44" s="24" t="s">
        <v>36</v>
      </c>
      <c r="F44" s="136" t="s">
        <v>37</v>
      </c>
      <c r="J44" s="139"/>
      <c r="K44" s="139"/>
      <c r="M44" s="31"/>
      <c r="N44" s="31"/>
      <c r="O44" s="31"/>
      <c r="P44" s="31"/>
      <c r="Q44" s="31"/>
    </row>
    <row r="45" spans="2:17" ht="18" customHeight="1" x14ac:dyDescent="0.25">
      <c r="J45" s="139"/>
      <c r="K45" s="139"/>
      <c r="M45" s="31"/>
      <c r="N45" s="31"/>
      <c r="O45" s="31"/>
      <c r="P45" s="31"/>
      <c r="Q45" s="31"/>
    </row>
    <row r="46" spans="2:17" ht="18" customHeight="1" x14ac:dyDescent="0.25">
      <c r="C46" s="25" t="s">
        <v>28</v>
      </c>
      <c r="D46" s="135">
        <v>0.6</v>
      </c>
      <c r="E46" s="25" t="s">
        <v>27</v>
      </c>
      <c r="F46" s="135">
        <v>32.200000000000003</v>
      </c>
      <c r="G46" s="25"/>
      <c r="J46" s="139"/>
      <c r="K46" s="139"/>
      <c r="M46" s="31"/>
      <c r="N46" s="31"/>
      <c r="O46" s="31"/>
      <c r="P46" s="31"/>
      <c r="Q46" s="31"/>
    </row>
    <row r="47" spans="2:17" ht="18" customHeight="1" x14ac:dyDescent="0.25">
      <c r="C47" s="210" t="s">
        <v>31</v>
      </c>
      <c r="D47" s="210"/>
      <c r="F47" s="136" t="s">
        <v>30</v>
      </c>
      <c r="J47" s="139"/>
      <c r="K47" s="139"/>
      <c r="M47" s="31"/>
      <c r="N47" s="31"/>
      <c r="O47" s="31"/>
      <c r="P47" s="31"/>
      <c r="Q47" s="31"/>
    </row>
    <row r="48" spans="2:17" ht="18" customHeight="1" x14ac:dyDescent="0.25">
      <c r="J48" s="139"/>
      <c r="K48" s="139"/>
      <c r="M48" s="31"/>
      <c r="N48" s="31"/>
      <c r="O48" s="31"/>
      <c r="P48" s="31"/>
      <c r="Q48" s="31"/>
    </row>
    <row r="49" spans="1:17" ht="18" customHeight="1" x14ac:dyDescent="0.3">
      <c r="C49" s="136" t="s">
        <v>82</v>
      </c>
      <c r="J49" s="139"/>
      <c r="K49" s="139"/>
      <c r="M49" s="31"/>
      <c r="N49" s="31"/>
      <c r="O49" s="31"/>
      <c r="P49" s="26" t="s">
        <v>59</v>
      </c>
      <c r="Q49" s="31"/>
    </row>
    <row r="50" spans="1:17" ht="18" customHeight="1" x14ac:dyDescent="0.25">
      <c r="C50" s="136" t="s">
        <v>83</v>
      </c>
      <c r="J50" s="139"/>
      <c r="K50" s="139"/>
      <c r="M50" s="31"/>
      <c r="N50" s="31"/>
      <c r="O50" s="31"/>
      <c r="P50" s="31"/>
      <c r="Q50" s="31"/>
    </row>
    <row r="51" spans="1:17" ht="18" customHeight="1" x14ac:dyDescent="0.35">
      <c r="C51" s="20" t="s">
        <v>84</v>
      </c>
      <c r="J51" s="139"/>
      <c r="K51" s="139"/>
      <c r="M51" s="31"/>
      <c r="N51" s="31"/>
      <c r="O51" s="31"/>
      <c r="P51" s="31"/>
      <c r="Q51" s="31"/>
    </row>
    <row r="52" spans="1:17" ht="18" customHeight="1" x14ac:dyDescent="0.25">
      <c r="J52" s="139"/>
      <c r="K52" s="139"/>
      <c r="M52" s="31"/>
      <c r="N52" s="31"/>
      <c r="O52" s="31"/>
      <c r="P52" s="31"/>
      <c r="Q52" s="31"/>
    </row>
    <row r="53" spans="1:17" ht="18" customHeight="1" x14ac:dyDescent="0.25">
      <c r="C53" s="136" t="s">
        <v>51</v>
      </c>
      <c r="J53" s="139"/>
      <c r="K53" s="139"/>
      <c r="M53" s="31"/>
      <c r="N53" s="31"/>
      <c r="O53" s="31"/>
      <c r="P53" s="31"/>
      <c r="Q53" s="31"/>
    </row>
    <row r="54" spans="1:17" ht="18" customHeight="1" x14ac:dyDescent="0.25">
      <c r="C54" s="136" t="s">
        <v>52</v>
      </c>
      <c r="J54" s="139"/>
      <c r="K54" s="139"/>
      <c r="M54" s="31"/>
      <c r="N54" s="31"/>
      <c r="O54" s="31"/>
      <c r="P54" s="31"/>
      <c r="Q54" s="31"/>
    </row>
    <row r="55" spans="1:17" ht="18" customHeight="1" x14ac:dyDescent="0.25">
      <c r="C55" s="136" t="s">
        <v>91</v>
      </c>
      <c r="J55" s="139"/>
      <c r="K55" s="139"/>
      <c r="M55" s="31"/>
      <c r="N55" s="31"/>
      <c r="O55" s="31"/>
      <c r="P55" s="31"/>
      <c r="Q55" s="31"/>
    </row>
    <row r="56" spans="1:17" ht="18" customHeight="1" x14ac:dyDescent="0.25">
      <c r="C56" s="136" t="s">
        <v>53</v>
      </c>
      <c r="J56" s="139"/>
      <c r="K56" s="139"/>
      <c r="M56" s="31"/>
      <c r="N56" s="31"/>
      <c r="O56" s="31"/>
      <c r="P56" s="31"/>
      <c r="Q56" s="31"/>
    </row>
    <row r="57" spans="1:17" ht="18" customHeight="1" x14ac:dyDescent="0.25">
      <c r="J57" s="139"/>
      <c r="K57" s="139"/>
      <c r="M57" s="31"/>
      <c r="N57" s="31"/>
      <c r="O57" s="31"/>
      <c r="P57" s="31"/>
      <c r="Q57" s="31"/>
    </row>
    <row r="58" spans="1:17" ht="18" customHeight="1" x14ac:dyDescent="0.25">
      <c r="J58" s="139"/>
      <c r="K58" s="139"/>
      <c r="M58" s="31"/>
      <c r="N58" s="31"/>
      <c r="O58" s="31"/>
      <c r="P58" s="31"/>
      <c r="Q58" s="31"/>
    </row>
    <row r="59" spans="1:17" ht="15.75" thickBot="1" x14ac:dyDescent="0.3">
      <c r="C59" s="207" t="s">
        <v>3</v>
      </c>
      <c r="D59" s="207"/>
      <c r="E59" s="207"/>
      <c r="F59" s="207"/>
      <c r="G59" s="207"/>
      <c r="H59" s="207"/>
      <c r="P59" s="136"/>
    </row>
    <row r="60" spans="1:17" ht="15.75" x14ac:dyDescent="0.3">
      <c r="C60" s="205" t="s">
        <v>4</v>
      </c>
      <c r="D60" s="42" t="s">
        <v>5</v>
      </c>
      <c r="E60" s="42" t="s">
        <v>6</v>
      </c>
      <c r="F60" s="42" t="s">
        <v>7</v>
      </c>
      <c r="G60" s="43" t="s">
        <v>8</v>
      </c>
      <c r="H60" s="44" t="s">
        <v>10</v>
      </c>
    </row>
    <row r="61" spans="1:17" ht="15.75" thickBot="1" x14ac:dyDescent="0.3">
      <c r="C61" s="206"/>
      <c r="D61" s="45"/>
      <c r="E61" s="45"/>
      <c r="F61" s="45"/>
      <c r="G61" s="138" t="s">
        <v>9</v>
      </c>
      <c r="H61" s="46" t="s">
        <v>11</v>
      </c>
    </row>
    <row r="62" spans="1:17" ht="15.75" thickBot="1" x14ac:dyDescent="0.3">
      <c r="A62" s="66" t="str">
        <f>CONCATENATE(C62,D62,E62,F62)</f>
        <v>Lake WohlfordAScrubFlat</v>
      </c>
      <c r="C62" s="47" t="s">
        <v>12</v>
      </c>
      <c r="D62" s="47" t="s">
        <v>13</v>
      </c>
      <c r="E62" s="47" t="s">
        <v>14</v>
      </c>
      <c r="F62" s="47" t="s">
        <v>55</v>
      </c>
      <c r="G62" s="47">
        <v>0.13600000000000001</v>
      </c>
      <c r="H62" s="48">
        <v>0.36899999999999999</v>
      </c>
    </row>
    <row r="63" spans="1:17" ht="15.75" thickBot="1" x14ac:dyDescent="0.3">
      <c r="A63" s="66" t="str">
        <f t="shared" ref="A63:A112" si="4">CONCATENATE(C63,D63,E63,F63)</f>
        <v>Lake WohlfordAScrubModerate</v>
      </c>
      <c r="C63" s="47" t="s">
        <v>12</v>
      </c>
      <c r="D63" s="47" t="s">
        <v>13</v>
      </c>
      <c r="E63" s="47" t="s">
        <v>14</v>
      </c>
      <c r="F63" s="47" t="s">
        <v>16</v>
      </c>
      <c r="G63" s="47">
        <v>0.20699999999999999</v>
      </c>
      <c r="H63" s="48">
        <v>0.41599999999999998</v>
      </c>
    </row>
    <row r="64" spans="1:17" ht="15.75" thickBot="1" x14ac:dyDescent="0.3">
      <c r="A64" s="66" t="str">
        <f t="shared" si="4"/>
        <v>Lake WohlfordAScrubSteep</v>
      </c>
      <c r="C64" s="47" t="s">
        <v>12</v>
      </c>
      <c r="D64" s="47" t="s">
        <v>13</v>
      </c>
      <c r="E64" s="47" t="s">
        <v>14</v>
      </c>
      <c r="F64" s="47" t="s">
        <v>17</v>
      </c>
      <c r="G64" s="47">
        <v>0.24399999999999999</v>
      </c>
      <c r="H64" s="48">
        <v>0.47</v>
      </c>
    </row>
    <row r="65" spans="1:8" ht="15.75" thickBot="1" x14ac:dyDescent="0.3">
      <c r="A65" s="66" t="str">
        <f t="shared" si="4"/>
        <v>Lake WohlfordBScrubFlat</v>
      </c>
      <c r="C65" s="47" t="s">
        <v>12</v>
      </c>
      <c r="D65" s="47" t="s">
        <v>18</v>
      </c>
      <c r="E65" s="47" t="s">
        <v>14</v>
      </c>
      <c r="F65" s="47" t="s">
        <v>55</v>
      </c>
      <c r="G65" s="47">
        <v>0.20799999999999999</v>
      </c>
      <c r="H65" s="48">
        <v>0.41399999999999998</v>
      </c>
    </row>
    <row r="66" spans="1:8" ht="15.75" thickBot="1" x14ac:dyDescent="0.3">
      <c r="A66" s="66" t="str">
        <f t="shared" si="4"/>
        <v>Lake WohlfordBScrubModerate</v>
      </c>
      <c r="C66" s="47" t="s">
        <v>12</v>
      </c>
      <c r="D66" s="47" t="s">
        <v>18</v>
      </c>
      <c r="E66" s="47" t="s">
        <v>14</v>
      </c>
      <c r="F66" s="47" t="s">
        <v>16</v>
      </c>
      <c r="G66" s="47">
        <v>0.22700000000000001</v>
      </c>
      <c r="H66" s="48">
        <v>0.44800000000000001</v>
      </c>
    </row>
    <row r="67" spans="1:8" ht="15.75" thickBot="1" x14ac:dyDescent="0.3">
      <c r="A67" s="66" t="str">
        <f t="shared" si="4"/>
        <v>Lake WohlfordBScrubSteep</v>
      </c>
      <c r="C67" s="47" t="s">
        <v>12</v>
      </c>
      <c r="D67" s="47" t="s">
        <v>18</v>
      </c>
      <c r="E67" s="47" t="s">
        <v>14</v>
      </c>
      <c r="F67" s="47" t="s">
        <v>17</v>
      </c>
      <c r="G67" s="47">
        <v>0.253</v>
      </c>
      <c r="H67" s="48">
        <v>0.48199999999999998</v>
      </c>
    </row>
    <row r="68" spans="1:8" ht="15.75" thickBot="1" x14ac:dyDescent="0.3">
      <c r="A68" s="66" t="str">
        <f t="shared" si="4"/>
        <v>Lake WohlfordCScrubFlat</v>
      </c>
      <c r="C68" s="47" t="s">
        <v>12</v>
      </c>
      <c r="D68" s="47" t="s">
        <v>19</v>
      </c>
      <c r="E68" s="47" t="s">
        <v>14</v>
      </c>
      <c r="F68" s="47" t="s">
        <v>55</v>
      </c>
      <c r="G68" s="47">
        <v>0.245</v>
      </c>
      <c r="H68" s="48">
        <v>0.45800000000000002</v>
      </c>
    </row>
    <row r="69" spans="1:8" ht="15.75" thickBot="1" x14ac:dyDescent="0.3">
      <c r="A69" s="66" t="str">
        <f t="shared" si="4"/>
        <v>Lake WohlfordCScrubModerate</v>
      </c>
      <c r="C69" s="47" t="s">
        <v>12</v>
      </c>
      <c r="D69" s="47" t="s">
        <v>19</v>
      </c>
      <c r="E69" s="47" t="s">
        <v>14</v>
      </c>
      <c r="F69" s="47" t="s">
        <v>16</v>
      </c>
      <c r="G69" s="47">
        <v>0.253</v>
      </c>
      <c r="H69" s="48">
        <v>0.48099999999999998</v>
      </c>
    </row>
    <row r="70" spans="1:8" ht="15.75" thickBot="1" x14ac:dyDescent="0.3">
      <c r="A70" s="66" t="str">
        <f t="shared" si="4"/>
        <v>Lake WohlfordCScrubSteep</v>
      </c>
      <c r="C70" s="47" t="s">
        <v>12</v>
      </c>
      <c r="D70" s="47" t="s">
        <v>19</v>
      </c>
      <c r="E70" s="47" t="s">
        <v>14</v>
      </c>
      <c r="F70" s="47" t="s">
        <v>17</v>
      </c>
      <c r="G70" s="47">
        <v>0.30199999999999999</v>
      </c>
      <c r="H70" s="48">
        <v>0.51700000000000002</v>
      </c>
    </row>
    <row r="71" spans="1:8" ht="15.75" thickBot="1" x14ac:dyDescent="0.3">
      <c r="A71" s="66" t="str">
        <f t="shared" si="4"/>
        <v>Lake WohlfordDScrubFlat</v>
      </c>
      <c r="C71" s="47" t="s">
        <v>12</v>
      </c>
      <c r="D71" s="47" t="s">
        <v>20</v>
      </c>
      <c r="E71" s="47" t="s">
        <v>14</v>
      </c>
      <c r="F71" s="47" t="s">
        <v>55</v>
      </c>
      <c r="G71" s="47">
        <v>0.253</v>
      </c>
      <c r="H71" s="48">
        <v>0.48</v>
      </c>
    </row>
    <row r="72" spans="1:8" ht="15.75" thickBot="1" x14ac:dyDescent="0.3">
      <c r="A72" s="66" t="str">
        <f t="shared" si="4"/>
        <v>Lake WohlfordDScrubModerate</v>
      </c>
      <c r="C72" s="47" t="s">
        <v>12</v>
      </c>
      <c r="D72" s="47" t="s">
        <v>20</v>
      </c>
      <c r="E72" s="47" t="s">
        <v>14</v>
      </c>
      <c r="F72" s="47" t="s">
        <v>16</v>
      </c>
      <c r="G72" s="47">
        <v>0.29199999999999998</v>
      </c>
      <c r="H72" s="48">
        <v>0.51600000000000001</v>
      </c>
    </row>
    <row r="73" spans="1:8" ht="15.75" thickBot="1" x14ac:dyDescent="0.3">
      <c r="A73" s="66" t="str">
        <f t="shared" si="4"/>
        <v>Lake WohlfordDScrubSteep</v>
      </c>
      <c r="C73" s="47" t="s">
        <v>12</v>
      </c>
      <c r="D73" s="47" t="s">
        <v>20</v>
      </c>
      <c r="E73" s="47" t="s">
        <v>14</v>
      </c>
      <c r="F73" s="47" t="s">
        <v>17</v>
      </c>
      <c r="G73" s="47">
        <v>0.35099999999999998</v>
      </c>
      <c r="H73" s="48">
        <v>0.53800000000000003</v>
      </c>
    </row>
    <row r="74" spans="1:8" ht="15.75" thickBot="1" x14ac:dyDescent="0.3">
      <c r="A74" s="66" t="str">
        <f t="shared" si="4"/>
        <v>Lake WohlfordAUrbanModerate</v>
      </c>
      <c r="C74" s="47" t="s">
        <v>12</v>
      </c>
      <c r="D74" s="47" t="s">
        <v>13</v>
      </c>
      <c r="E74" s="47" t="s">
        <v>21</v>
      </c>
      <c r="F74" s="47" t="s">
        <v>16</v>
      </c>
      <c r="G74" s="47">
        <v>0.23599999999999999</v>
      </c>
      <c r="H74" s="48">
        <v>0.46</v>
      </c>
    </row>
    <row r="75" spans="1:8" ht="15.75" thickBot="1" x14ac:dyDescent="0.3">
      <c r="A75" s="66" t="str">
        <f t="shared" si="4"/>
        <v>Lake WohlfordBUrbanModerate</v>
      </c>
      <c r="C75" s="47" t="s">
        <v>12</v>
      </c>
      <c r="D75" s="47" t="s">
        <v>18</v>
      </c>
      <c r="E75" s="47" t="s">
        <v>21</v>
      </c>
      <c r="F75" s="47" t="s">
        <v>16</v>
      </c>
      <c r="G75" s="47">
        <v>0.254</v>
      </c>
      <c r="H75" s="48">
        <v>0.48299999999999998</v>
      </c>
    </row>
    <row r="76" spans="1:8" ht="15.75" thickBot="1" x14ac:dyDescent="0.3">
      <c r="A76" s="66" t="str">
        <f t="shared" si="4"/>
        <v>Lake WohlfordCUrbanModerate</v>
      </c>
      <c r="C76" s="47" t="s">
        <v>12</v>
      </c>
      <c r="D76" s="47" t="s">
        <v>19</v>
      </c>
      <c r="E76" s="47" t="s">
        <v>21</v>
      </c>
      <c r="F76" s="47" t="s">
        <v>16</v>
      </c>
      <c r="G76" s="47">
        <v>0.30199999999999999</v>
      </c>
      <c r="H76" s="48">
        <v>0.51700000000000002</v>
      </c>
    </row>
    <row r="77" spans="1:8" ht="15.75" thickBot="1" x14ac:dyDescent="0.3">
      <c r="A77" s="66" t="str">
        <f t="shared" si="4"/>
        <v>Lake WohlfordDUrbanModerate</v>
      </c>
      <c r="C77" s="47" t="s">
        <v>12</v>
      </c>
      <c r="D77" s="47" t="s">
        <v>20</v>
      </c>
      <c r="E77" s="47" t="s">
        <v>21</v>
      </c>
      <c r="F77" s="47" t="s">
        <v>16</v>
      </c>
      <c r="G77" s="47">
        <v>0.35299999999999998</v>
      </c>
      <c r="H77" s="48">
        <v>0.53900000000000003</v>
      </c>
    </row>
    <row r="78" spans="1:8" ht="15.75" thickBot="1" x14ac:dyDescent="0.3">
      <c r="A78" s="66" t="str">
        <f t="shared" si="4"/>
        <v>Lake WohlfordImperviousN/AModerate</v>
      </c>
      <c r="C78" s="47" t="s">
        <v>12</v>
      </c>
      <c r="D78" s="47" t="s">
        <v>22</v>
      </c>
      <c r="E78" s="47" t="s">
        <v>71</v>
      </c>
      <c r="F78" s="47" t="s">
        <v>16</v>
      </c>
      <c r="G78" s="47">
        <v>0.55500000000000005</v>
      </c>
      <c r="H78" s="48">
        <v>0.77300000000000002</v>
      </c>
    </row>
    <row r="79" spans="1:8" ht="15.75" thickBot="1" x14ac:dyDescent="0.3">
      <c r="A79" s="66" t="str">
        <f t="shared" si="4"/>
        <v>OceansideAScrubFlat</v>
      </c>
      <c r="C79" s="47" t="s">
        <v>23</v>
      </c>
      <c r="D79" s="47" t="s">
        <v>13</v>
      </c>
      <c r="E79" s="47" t="s">
        <v>14</v>
      </c>
      <c r="F79" s="47" t="s">
        <v>55</v>
      </c>
      <c r="G79" s="47">
        <v>3.5000000000000003E-2</v>
      </c>
      <c r="H79" s="48">
        <v>0.32</v>
      </c>
    </row>
    <row r="80" spans="1:8" ht="15.75" thickBot="1" x14ac:dyDescent="0.3">
      <c r="A80" s="66" t="str">
        <f t="shared" si="4"/>
        <v>OceansideAScrubModerate</v>
      </c>
      <c r="C80" s="47" t="s">
        <v>23</v>
      </c>
      <c r="D80" s="47" t="s">
        <v>13</v>
      </c>
      <c r="E80" s="47" t="s">
        <v>14</v>
      </c>
      <c r="F80" s="47" t="s">
        <v>16</v>
      </c>
      <c r="G80" s="47">
        <v>9.2999999999999999E-2</v>
      </c>
      <c r="H80" s="48">
        <v>0.36699999999999999</v>
      </c>
    </row>
    <row r="81" spans="1:8" ht="15.75" thickBot="1" x14ac:dyDescent="0.3">
      <c r="A81" s="66" t="str">
        <f t="shared" si="4"/>
        <v>OceansideAScrubSteep</v>
      </c>
      <c r="C81" s="47" t="s">
        <v>23</v>
      </c>
      <c r="D81" s="47" t="s">
        <v>13</v>
      </c>
      <c r="E81" s="47" t="s">
        <v>14</v>
      </c>
      <c r="F81" s="47" t="s">
        <v>17</v>
      </c>
      <c r="G81" s="47">
        <v>0.16300000000000001</v>
      </c>
      <c r="H81" s="48">
        <v>0.42</v>
      </c>
    </row>
    <row r="82" spans="1:8" ht="15.75" thickBot="1" x14ac:dyDescent="0.3">
      <c r="A82" s="66" t="str">
        <f t="shared" si="4"/>
        <v>OceansideBScrubFlat</v>
      </c>
      <c r="C82" s="47" t="s">
        <v>23</v>
      </c>
      <c r="D82" s="47" t="s">
        <v>18</v>
      </c>
      <c r="E82" s="47" t="s">
        <v>14</v>
      </c>
      <c r="F82" s="47" t="s">
        <v>55</v>
      </c>
      <c r="G82" s="47">
        <v>0.08</v>
      </c>
      <c r="H82" s="48">
        <v>0.36499999999999999</v>
      </c>
    </row>
    <row r="83" spans="1:8" ht="15.75" thickBot="1" x14ac:dyDescent="0.3">
      <c r="A83" s="66" t="str">
        <f t="shared" si="4"/>
        <v>OceansideBScrubModerate</v>
      </c>
      <c r="C83" s="47" t="s">
        <v>23</v>
      </c>
      <c r="D83" s="47" t="s">
        <v>18</v>
      </c>
      <c r="E83" s="47" t="s">
        <v>14</v>
      </c>
      <c r="F83" s="47" t="s">
        <v>16</v>
      </c>
      <c r="G83" s="47">
        <v>0.13400000000000001</v>
      </c>
      <c r="H83" s="48">
        <v>0.4</v>
      </c>
    </row>
    <row r="84" spans="1:8" ht="15.75" thickBot="1" x14ac:dyDescent="0.3">
      <c r="A84" s="66" t="str">
        <f t="shared" si="4"/>
        <v>OceansideBScrubSteep</v>
      </c>
      <c r="C84" s="47" t="s">
        <v>23</v>
      </c>
      <c r="D84" s="47" t="s">
        <v>18</v>
      </c>
      <c r="E84" s="47" t="s">
        <v>14</v>
      </c>
      <c r="F84" s="47" t="s">
        <v>17</v>
      </c>
      <c r="G84" s="47">
        <v>0.18099999999999999</v>
      </c>
      <c r="H84" s="48">
        <v>0.433</v>
      </c>
    </row>
    <row r="85" spans="1:8" ht="15.75" thickBot="1" x14ac:dyDescent="0.3">
      <c r="A85" s="66" t="str">
        <f t="shared" si="4"/>
        <v>OceansideCScrubFlat</v>
      </c>
      <c r="C85" s="47" t="s">
        <v>23</v>
      </c>
      <c r="D85" s="47" t="s">
        <v>19</v>
      </c>
      <c r="E85" s="47" t="s">
        <v>14</v>
      </c>
      <c r="F85" s="47" t="s">
        <v>55</v>
      </c>
      <c r="G85" s="47">
        <v>0.14599999999999999</v>
      </c>
      <c r="H85" s="48">
        <v>0.41099999999999998</v>
      </c>
    </row>
    <row r="86" spans="1:8" ht="15.75" thickBot="1" x14ac:dyDescent="0.3">
      <c r="A86" s="66" t="str">
        <f t="shared" si="4"/>
        <v>OceansideCScrubModerate</v>
      </c>
      <c r="C86" s="47" t="s">
        <v>23</v>
      </c>
      <c r="D86" s="47" t="s">
        <v>19</v>
      </c>
      <c r="E86" s="47" t="s">
        <v>14</v>
      </c>
      <c r="F86" s="47" t="s">
        <v>16</v>
      </c>
      <c r="G86" s="47">
        <v>0.185</v>
      </c>
      <c r="H86" s="48">
        <v>0.433</v>
      </c>
    </row>
    <row r="87" spans="1:8" ht="15.75" thickBot="1" x14ac:dyDescent="0.3">
      <c r="A87" s="66" t="str">
        <f t="shared" si="4"/>
        <v>OceansideCScrubSteep</v>
      </c>
      <c r="C87" s="47" t="s">
        <v>23</v>
      </c>
      <c r="D87" s="47" t="s">
        <v>19</v>
      </c>
      <c r="E87" s="47" t="s">
        <v>14</v>
      </c>
      <c r="F87" s="47" t="s">
        <v>17</v>
      </c>
      <c r="G87" s="47">
        <v>0.217</v>
      </c>
      <c r="H87" s="48">
        <v>0.45800000000000002</v>
      </c>
    </row>
    <row r="88" spans="1:8" ht="15.75" thickBot="1" x14ac:dyDescent="0.3">
      <c r="A88" s="66" t="str">
        <f t="shared" si="4"/>
        <v>OceansideDScrubFlat</v>
      </c>
      <c r="C88" s="47" t="s">
        <v>23</v>
      </c>
      <c r="D88" s="47" t="s">
        <v>20</v>
      </c>
      <c r="E88" s="47" t="s">
        <v>14</v>
      </c>
      <c r="F88" s="47" t="s">
        <v>55</v>
      </c>
      <c r="G88" s="47">
        <v>0.17499999999999999</v>
      </c>
      <c r="H88" s="48">
        <v>0.434</v>
      </c>
    </row>
    <row r="89" spans="1:8" ht="15.75" thickBot="1" x14ac:dyDescent="0.3">
      <c r="A89" s="66" t="str">
        <f t="shared" si="4"/>
        <v>OceansideDScrubModerate</v>
      </c>
      <c r="C89" s="47" t="s">
        <v>23</v>
      </c>
      <c r="D89" s="47" t="s">
        <v>20</v>
      </c>
      <c r="E89" s="47" t="s">
        <v>14</v>
      </c>
      <c r="F89" s="47" t="s">
        <v>16</v>
      </c>
      <c r="G89" s="47">
        <v>0.21199999999999999</v>
      </c>
      <c r="H89" s="48">
        <v>0.45500000000000002</v>
      </c>
    </row>
    <row r="90" spans="1:8" ht="15.75" thickBot="1" x14ac:dyDescent="0.3">
      <c r="A90" s="66" t="str">
        <f t="shared" si="4"/>
        <v>OceansideDScrubSteep</v>
      </c>
      <c r="C90" s="47" t="s">
        <v>23</v>
      </c>
      <c r="D90" s="47" t="s">
        <v>20</v>
      </c>
      <c r="E90" s="47" t="s">
        <v>14</v>
      </c>
      <c r="F90" s="47" t="s">
        <v>17</v>
      </c>
      <c r="G90" s="47">
        <v>0.24399999999999999</v>
      </c>
      <c r="H90" s="48">
        <v>0.57099999999999995</v>
      </c>
    </row>
    <row r="91" spans="1:8" ht="15.75" thickBot="1" x14ac:dyDescent="0.3">
      <c r="A91" s="66" t="str">
        <f t="shared" si="4"/>
        <v>OceansideAUrbanModerate</v>
      </c>
      <c r="C91" s="47" t="s">
        <v>23</v>
      </c>
      <c r="D91" s="47" t="s">
        <v>13</v>
      </c>
      <c r="E91" s="47" t="s">
        <v>21</v>
      </c>
      <c r="F91" s="47" t="s">
        <v>16</v>
      </c>
      <c r="G91" s="47">
        <v>0.152</v>
      </c>
      <c r="H91" s="48">
        <v>0.41099999999999998</v>
      </c>
    </row>
    <row r="92" spans="1:8" ht="15.75" thickBot="1" x14ac:dyDescent="0.3">
      <c r="A92" s="66" t="str">
        <f t="shared" si="4"/>
        <v>OceansideBUrbanModerate</v>
      </c>
      <c r="C92" s="47" t="s">
        <v>23</v>
      </c>
      <c r="D92" s="47" t="s">
        <v>18</v>
      </c>
      <c r="E92" s="47" t="s">
        <v>21</v>
      </c>
      <c r="F92" s="47" t="s">
        <v>16</v>
      </c>
      <c r="G92" s="47">
        <v>0.188</v>
      </c>
      <c r="H92" s="48">
        <v>0.434</v>
      </c>
    </row>
    <row r="93" spans="1:8" ht="15.75" thickBot="1" x14ac:dyDescent="0.3">
      <c r="A93" s="66" t="str">
        <f t="shared" si="4"/>
        <v>OceansideCUrbanModerate</v>
      </c>
      <c r="C93" s="47" t="s">
        <v>23</v>
      </c>
      <c r="D93" s="47" t="s">
        <v>19</v>
      </c>
      <c r="E93" s="47" t="s">
        <v>21</v>
      </c>
      <c r="F93" s="47" t="s">
        <v>16</v>
      </c>
      <c r="G93" s="47">
        <v>0.216</v>
      </c>
      <c r="H93" s="48">
        <v>0.45800000000000002</v>
      </c>
    </row>
    <row r="94" spans="1:8" ht="15.75" thickBot="1" x14ac:dyDescent="0.3">
      <c r="A94" s="66" t="str">
        <f t="shared" si="4"/>
        <v>OceansideDUrbanModerate</v>
      </c>
      <c r="C94" s="47" t="s">
        <v>23</v>
      </c>
      <c r="D94" s="47" t="s">
        <v>20</v>
      </c>
      <c r="E94" s="47" t="s">
        <v>21</v>
      </c>
      <c r="F94" s="47" t="s">
        <v>16</v>
      </c>
      <c r="G94" s="47">
        <v>0.247</v>
      </c>
      <c r="H94" s="48">
        <v>0.57099999999999995</v>
      </c>
    </row>
    <row r="95" spans="1:8" ht="15.75" thickBot="1" x14ac:dyDescent="0.3">
      <c r="A95" s="66" t="str">
        <f t="shared" si="4"/>
        <v>OceansideImperviousN/AModerate</v>
      </c>
      <c r="C95" s="47" t="s">
        <v>23</v>
      </c>
      <c r="D95" s="47" t="s">
        <v>22</v>
      </c>
      <c r="E95" s="47" t="s">
        <v>71</v>
      </c>
      <c r="F95" s="47" t="s">
        <v>16</v>
      </c>
      <c r="G95" s="47">
        <v>0.55700000000000005</v>
      </c>
      <c r="H95" s="48">
        <v>0.94899999999999995</v>
      </c>
    </row>
    <row r="96" spans="1:8" ht="15.75" thickBot="1" x14ac:dyDescent="0.3">
      <c r="A96" s="66" t="str">
        <f t="shared" si="4"/>
        <v>LindberghAScrubFlat</v>
      </c>
      <c r="C96" s="47" t="s">
        <v>24</v>
      </c>
      <c r="D96" s="47" t="s">
        <v>13</v>
      </c>
      <c r="E96" s="47" t="s">
        <v>14</v>
      </c>
      <c r="F96" s="47" t="s">
        <v>55</v>
      </c>
      <c r="G96" s="47">
        <v>3.0000000000000001E-3</v>
      </c>
      <c r="H96" s="48">
        <v>8.1000000000000003E-2</v>
      </c>
    </row>
    <row r="97" spans="1:8" ht="15.75" thickBot="1" x14ac:dyDescent="0.3">
      <c r="A97" s="66" t="str">
        <f t="shared" si="4"/>
        <v>LindberghAScrubModerate</v>
      </c>
      <c r="C97" s="47" t="s">
        <v>24</v>
      </c>
      <c r="D97" s="47" t="s">
        <v>13</v>
      </c>
      <c r="E97" s="47" t="s">
        <v>14</v>
      </c>
      <c r="F97" s="47" t="s">
        <v>16</v>
      </c>
      <c r="G97" s="47">
        <v>1.7999999999999999E-2</v>
      </c>
      <c r="H97" s="48">
        <v>0.13700000000000001</v>
      </c>
    </row>
    <row r="98" spans="1:8" ht="15.75" thickBot="1" x14ac:dyDescent="0.3">
      <c r="A98" s="66" t="str">
        <f t="shared" si="4"/>
        <v>LindberghAScrubSteep</v>
      </c>
      <c r="C98" s="47" t="s">
        <v>24</v>
      </c>
      <c r="D98" s="47" t="s">
        <v>13</v>
      </c>
      <c r="E98" s="47" t="s">
        <v>14</v>
      </c>
      <c r="F98" s="47" t="s">
        <v>17</v>
      </c>
      <c r="G98" s="47">
        <v>6.0999999999999999E-2</v>
      </c>
      <c r="H98" s="48">
        <v>0.21099999999999999</v>
      </c>
    </row>
    <row r="99" spans="1:8" ht="15.75" thickBot="1" x14ac:dyDescent="0.3">
      <c r="A99" s="66" t="str">
        <f t="shared" si="4"/>
        <v>LindberghBScrubFlat</v>
      </c>
      <c r="C99" s="47" t="s">
        <v>24</v>
      </c>
      <c r="D99" s="47" t="s">
        <v>18</v>
      </c>
      <c r="E99" s="47" t="s">
        <v>14</v>
      </c>
      <c r="F99" s="47" t="s">
        <v>55</v>
      </c>
      <c r="G99" s="47">
        <v>1.0999999999999999E-2</v>
      </c>
      <c r="H99" s="48">
        <v>0.13400000000000001</v>
      </c>
    </row>
    <row r="100" spans="1:8" ht="15.75" thickBot="1" x14ac:dyDescent="0.3">
      <c r="A100" s="66" t="str">
        <f t="shared" si="4"/>
        <v>LindberghBScrubModerate</v>
      </c>
      <c r="C100" s="47" t="s">
        <v>24</v>
      </c>
      <c r="D100" s="47" t="s">
        <v>18</v>
      </c>
      <c r="E100" s="47" t="s">
        <v>14</v>
      </c>
      <c r="F100" s="47" t="s">
        <v>16</v>
      </c>
      <c r="G100" s="47">
        <v>3.3000000000000002E-2</v>
      </c>
      <c r="H100" s="48">
        <v>0.17399999999999999</v>
      </c>
    </row>
    <row r="101" spans="1:8" ht="15.75" thickBot="1" x14ac:dyDescent="0.3">
      <c r="A101" s="66" t="str">
        <f t="shared" si="4"/>
        <v>LindberghBScrubSteep</v>
      </c>
      <c r="C101" s="47" t="s">
        <v>24</v>
      </c>
      <c r="D101" s="47" t="s">
        <v>18</v>
      </c>
      <c r="E101" s="47" t="s">
        <v>14</v>
      </c>
      <c r="F101" s="47" t="s">
        <v>17</v>
      </c>
      <c r="G101" s="47">
        <v>7.6999999999999999E-2</v>
      </c>
      <c r="H101" s="48">
        <v>0.23</v>
      </c>
    </row>
    <row r="102" spans="1:8" ht="15.75" thickBot="1" x14ac:dyDescent="0.3">
      <c r="A102" s="66" t="str">
        <f t="shared" si="4"/>
        <v>LindberghCScrubFlat</v>
      </c>
      <c r="C102" s="47" t="s">
        <v>24</v>
      </c>
      <c r="D102" s="47" t="s">
        <v>19</v>
      </c>
      <c r="E102" s="47" t="s">
        <v>14</v>
      </c>
      <c r="F102" s="47" t="s">
        <v>55</v>
      </c>
      <c r="G102" s="47">
        <v>2.8000000000000001E-2</v>
      </c>
      <c r="H102" s="48">
        <v>0.19</v>
      </c>
    </row>
    <row r="103" spans="1:8" ht="15.75" thickBot="1" x14ac:dyDescent="0.3">
      <c r="A103" s="66" t="str">
        <f t="shared" si="4"/>
        <v>LindberghCScrubModerate</v>
      </c>
      <c r="C103" s="47" t="s">
        <v>24</v>
      </c>
      <c r="D103" s="47" t="s">
        <v>19</v>
      </c>
      <c r="E103" s="47" t="s">
        <v>14</v>
      </c>
      <c r="F103" s="47" t="s">
        <v>16</v>
      </c>
      <c r="G103" s="47">
        <v>7.4999999999999997E-2</v>
      </c>
      <c r="H103" s="48">
        <v>0.23200000000000001</v>
      </c>
    </row>
    <row r="104" spans="1:8" ht="15.75" thickBot="1" x14ac:dyDescent="0.3">
      <c r="A104" s="66" t="str">
        <f t="shared" si="4"/>
        <v>LindberghCScrubSteep</v>
      </c>
      <c r="C104" s="47" t="s">
        <v>24</v>
      </c>
      <c r="D104" s="47" t="s">
        <v>19</v>
      </c>
      <c r="E104" s="47" t="s">
        <v>14</v>
      </c>
      <c r="F104" s="47" t="s">
        <v>17</v>
      </c>
      <c r="G104" s="47">
        <v>0.108</v>
      </c>
      <c r="H104" s="48">
        <v>0.27400000000000002</v>
      </c>
    </row>
    <row r="105" spans="1:8" ht="15.75" thickBot="1" x14ac:dyDescent="0.3">
      <c r="A105" s="66" t="str">
        <f t="shared" si="4"/>
        <v>LindberghDScrubFlat</v>
      </c>
      <c r="C105" s="47" t="s">
        <v>24</v>
      </c>
      <c r="D105" s="47" t="s">
        <v>20</v>
      </c>
      <c r="E105" s="47" t="s">
        <v>14</v>
      </c>
      <c r="F105" s="47" t="s">
        <v>55</v>
      </c>
      <c r="G105" s="47">
        <v>0.05</v>
      </c>
      <c r="H105" s="48">
        <v>0.22800000000000001</v>
      </c>
    </row>
    <row r="106" spans="1:8" ht="15.75" thickBot="1" x14ac:dyDescent="0.3">
      <c r="A106" s="66" t="str">
        <f t="shared" si="4"/>
        <v>LindberghDScrubModerate</v>
      </c>
      <c r="C106" s="47" t="s">
        <v>24</v>
      </c>
      <c r="D106" s="47" t="s">
        <v>20</v>
      </c>
      <c r="E106" s="47" t="s">
        <v>14</v>
      </c>
      <c r="F106" s="47" t="s">
        <v>16</v>
      </c>
      <c r="G106" s="47">
        <v>0.104</v>
      </c>
      <c r="H106" s="48">
        <v>0.26600000000000001</v>
      </c>
    </row>
    <row r="107" spans="1:8" ht="15.75" thickBot="1" x14ac:dyDescent="0.3">
      <c r="A107" s="66" t="str">
        <f t="shared" si="4"/>
        <v>LindberghDScrubSteep</v>
      </c>
      <c r="C107" s="47" t="s">
        <v>24</v>
      </c>
      <c r="D107" s="47" t="s">
        <v>20</v>
      </c>
      <c r="E107" s="47" t="s">
        <v>14</v>
      </c>
      <c r="F107" s="47" t="s">
        <v>17</v>
      </c>
      <c r="G107" s="47">
        <v>0.14299999999999999</v>
      </c>
      <c r="H107" s="48">
        <v>0.31900000000000001</v>
      </c>
    </row>
    <row r="108" spans="1:8" ht="15.75" thickBot="1" x14ac:dyDescent="0.3">
      <c r="A108" s="66" t="str">
        <f t="shared" si="4"/>
        <v>LindberghAUrbanModerate</v>
      </c>
      <c r="C108" s="47" t="s">
        <v>24</v>
      </c>
      <c r="D108" s="47" t="s">
        <v>13</v>
      </c>
      <c r="E108" s="47" t="s">
        <v>21</v>
      </c>
      <c r="F108" s="47" t="s">
        <v>16</v>
      </c>
      <c r="G108" s="47">
        <v>4.5999999999999999E-2</v>
      </c>
      <c r="H108" s="48">
        <v>0.19400000000000001</v>
      </c>
    </row>
    <row r="109" spans="1:8" ht="15.75" thickBot="1" x14ac:dyDescent="0.3">
      <c r="A109" s="66" t="str">
        <f t="shared" si="4"/>
        <v>LindberghBUrbanModerate</v>
      </c>
      <c r="C109" s="47" t="s">
        <v>24</v>
      </c>
      <c r="D109" s="47" t="s">
        <v>18</v>
      </c>
      <c r="E109" s="47" t="s">
        <v>21</v>
      </c>
      <c r="F109" s="47" t="s">
        <v>16</v>
      </c>
      <c r="G109" s="47">
        <v>7.8E-2</v>
      </c>
      <c r="H109" s="48">
        <v>0.23499999999999999</v>
      </c>
    </row>
    <row r="110" spans="1:8" ht="15.75" thickBot="1" x14ac:dyDescent="0.3">
      <c r="A110" s="66" t="str">
        <f t="shared" si="4"/>
        <v>LindberghCUrbanModerate</v>
      </c>
      <c r="C110" s="47" t="s">
        <v>24</v>
      </c>
      <c r="D110" s="47" t="s">
        <v>19</v>
      </c>
      <c r="E110" s="47" t="s">
        <v>21</v>
      </c>
      <c r="F110" s="47" t="s">
        <v>16</v>
      </c>
      <c r="G110" s="47">
        <v>0.107</v>
      </c>
      <c r="H110" s="48">
        <v>0.27100000000000002</v>
      </c>
    </row>
    <row r="111" spans="1:8" ht="15.75" thickBot="1" x14ac:dyDescent="0.3">
      <c r="A111" s="66" t="str">
        <f t="shared" si="4"/>
        <v>LindberghDUrbanModerate</v>
      </c>
      <c r="C111" s="47" t="s">
        <v>24</v>
      </c>
      <c r="D111" s="47" t="s">
        <v>20</v>
      </c>
      <c r="E111" s="47" t="s">
        <v>21</v>
      </c>
      <c r="F111" s="47" t="s">
        <v>16</v>
      </c>
      <c r="G111" s="47">
        <v>0.14499999999999999</v>
      </c>
      <c r="H111" s="48">
        <v>0.32</v>
      </c>
    </row>
    <row r="112" spans="1:8" ht="15.75" thickBot="1" x14ac:dyDescent="0.3">
      <c r="A112" s="66" t="str">
        <f t="shared" si="4"/>
        <v>LindberghImperviousN/AModerate</v>
      </c>
      <c r="C112" s="47" t="s">
        <v>24</v>
      </c>
      <c r="D112" s="47" t="s">
        <v>22</v>
      </c>
      <c r="E112" s="47" t="s">
        <v>71</v>
      </c>
      <c r="F112" s="47" t="s">
        <v>16</v>
      </c>
      <c r="G112" s="47">
        <v>0.51200000000000001</v>
      </c>
      <c r="H112" s="48">
        <v>0.749</v>
      </c>
    </row>
    <row r="113" spans="1:7" x14ac:dyDescent="0.25">
      <c r="A113" s="66">
        <v>0</v>
      </c>
      <c r="G113" s="49">
        <v>0</v>
      </c>
    </row>
  </sheetData>
  <sheetProtection password="C0CB" sheet="1" objects="1" scenarios="1" selectLockedCells="1"/>
  <protectedRanges>
    <protectedRange password="CA3A" sqref="C13:I27" name="Range1"/>
    <protectedRange password="CA3A" sqref="G4 G6:G7" name="Range1_1"/>
  </protectedRanges>
  <mergeCells count="17">
    <mergeCell ref="D5:E5"/>
    <mergeCell ref="G5:H5"/>
    <mergeCell ref="D6:E6"/>
    <mergeCell ref="G6:H6"/>
    <mergeCell ref="D7:E7"/>
    <mergeCell ref="G7:H7"/>
    <mergeCell ref="C2:H2"/>
    <mergeCell ref="D3:E3"/>
    <mergeCell ref="G3:H3"/>
    <mergeCell ref="D4:E4"/>
    <mergeCell ref="G4:H4"/>
    <mergeCell ref="J38:K38"/>
    <mergeCell ref="C60:C61"/>
    <mergeCell ref="C59:H59"/>
    <mergeCell ref="D11:F11"/>
    <mergeCell ref="B11:B12"/>
    <mergeCell ref="C47:D47"/>
  </mergeCells>
  <conditionalFormatting sqref="K37">
    <cfRule type="cellIs" dxfId="1" priority="2" operator="greaterThan">
      <formula>96</formula>
    </cfRule>
  </conditionalFormatting>
  <conditionalFormatting sqref="J38:K38">
    <cfRule type="expression" dxfId="0" priority="1">
      <formula>$K$37&lt;96</formula>
    </cfRule>
  </conditionalFormatting>
  <pageMargins left="0.27" right="0.2" top="0.39" bottom="0.47" header="0.3" footer="0.3"/>
  <pageSetup scale="78" orientation="landscape" r:id="rId1"/>
  <rowBreaks count="1" manualBreakCount="1">
    <brk id="58" min="1" max="16" man="1"/>
  </rowBreaks>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'Sizing Factors'!$A$35:$A$37</xm:f>
          </x14:formula1>
          <xm:sqref>E13:E27</xm:sqref>
        </x14:dataValidation>
        <x14:dataValidation type="list" allowBlank="1" showInputMessage="1" showErrorMessage="1">
          <x14:formula1>
            <xm:f>'Sizing Factors'!$A$30:$A$32</xm:f>
          </x14:formula1>
          <xm:sqref>F13:F27</xm:sqref>
        </x14:dataValidation>
        <x14:dataValidation type="list" allowBlank="1" showInputMessage="1" showErrorMessage="1">
          <x14:formula1>
            <xm:f>'Sizing Factors'!$A$8:$A$12</xm:f>
          </x14:formula1>
          <xm:sqref>D13:D27</xm:sqref>
        </x14:dataValidation>
        <x14:dataValidation type="list" allowBlank="1" showInputMessage="1" showErrorMessage="1">
          <x14:formula1>
            <xm:f>'Sizing Factors'!$A$40:$A$44</xm:f>
          </x14:formula1>
          <xm:sqref>G7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sqref="A1:XFD1048576"/>
    </sheetView>
  </sheetViews>
  <sheetFormatPr defaultRowHeight="15" x14ac:dyDescent="0.25"/>
  <sheetData/>
  <sheetProtection password="C0CB" sheet="1" objects="1" scenarios="1" selectLockedCells="1"/>
  <pageMargins left="0.7" right="0.7" top="0.75" bottom="0.75" header="0.3" footer="0.3"/>
  <pageSetup scale="7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4"/>
  <sheetViews>
    <sheetView topLeftCell="B57" zoomScaleNormal="100" workbookViewId="0">
      <selection activeCell="G153" sqref="G153"/>
    </sheetView>
  </sheetViews>
  <sheetFormatPr defaultRowHeight="15" x14ac:dyDescent="0.25"/>
  <cols>
    <col min="1" max="1" width="52.42578125" style="67" hidden="1" customWidth="1"/>
    <col min="2" max="2" width="19" bestFit="1" customWidth="1"/>
    <col min="3" max="3" width="13" customWidth="1"/>
    <col min="4" max="4" width="11.7109375" customWidth="1"/>
    <col min="5" max="5" width="12.42578125" customWidth="1"/>
    <col min="9" max="9" width="9.140625" style="102" customWidth="1"/>
    <col min="10" max="10" width="9.140625" style="102"/>
  </cols>
  <sheetData>
    <row r="1" spans="1:1" hidden="1" x14ac:dyDescent="0.25"/>
    <row r="2" spans="1:1" hidden="1" x14ac:dyDescent="0.25">
      <c r="A2" s="67" t="s">
        <v>54</v>
      </c>
    </row>
    <row r="3" spans="1:1" hidden="1" x14ac:dyDescent="0.25">
      <c r="A3" s="67" t="s">
        <v>24</v>
      </c>
    </row>
    <row r="4" spans="1:1" hidden="1" x14ac:dyDescent="0.25">
      <c r="A4" s="67" t="s">
        <v>23</v>
      </c>
    </row>
    <row r="5" spans="1:1" hidden="1" x14ac:dyDescent="0.25">
      <c r="A5" s="67" t="s">
        <v>12</v>
      </c>
    </row>
    <row r="6" spans="1:1" hidden="1" x14ac:dyDescent="0.25"/>
    <row r="7" spans="1:1" hidden="1" x14ac:dyDescent="0.25">
      <c r="A7" s="67" t="s">
        <v>25</v>
      </c>
    </row>
    <row r="8" spans="1:1" hidden="1" x14ac:dyDescent="0.25">
      <c r="A8" s="67" t="s">
        <v>13</v>
      </c>
    </row>
    <row r="9" spans="1:1" hidden="1" x14ac:dyDescent="0.25">
      <c r="A9" s="67" t="s">
        <v>18</v>
      </c>
    </row>
    <row r="10" spans="1:1" hidden="1" x14ac:dyDescent="0.25">
      <c r="A10" s="67" t="s">
        <v>19</v>
      </c>
    </row>
    <row r="11" spans="1:1" hidden="1" x14ac:dyDescent="0.25">
      <c r="A11" s="67" t="s">
        <v>20</v>
      </c>
    </row>
    <row r="12" spans="1:1" hidden="1" x14ac:dyDescent="0.25">
      <c r="A12" s="67" t="s">
        <v>22</v>
      </c>
    </row>
    <row r="13" spans="1:1" hidden="1" x14ac:dyDescent="0.25"/>
    <row r="14" spans="1:1" hidden="1" x14ac:dyDescent="0.25">
      <c r="A14" s="67" t="s">
        <v>114</v>
      </c>
    </row>
    <row r="15" spans="1:1" hidden="1" x14ac:dyDescent="0.25">
      <c r="A15" s="67" t="s">
        <v>13</v>
      </c>
    </row>
    <row r="16" spans="1:1" hidden="1" x14ac:dyDescent="0.25">
      <c r="A16" s="67" t="s">
        <v>18</v>
      </c>
    </row>
    <row r="17" spans="1:1" hidden="1" x14ac:dyDescent="0.25">
      <c r="A17" s="67" t="s">
        <v>19</v>
      </c>
    </row>
    <row r="18" spans="1:1" hidden="1" x14ac:dyDescent="0.25">
      <c r="A18" s="67" t="s">
        <v>20</v>
      </c>
    </row>
    <row r="19" spans="1:1" hidden="1" x14ac:dyDescent="0.25">
      <c r="A19" s="67" t="s">
        <v>115</v>
      </c>
    </row>
    <row r="20" spans="1:1" hidden="1" x14ac:dyDescent="0.25"/>
    <row r="21" spans="1:1" hidden="1" x14ac:dyDescent="0.25">
      <c r="A21" s="67" t="s">
        <v>113</v>
      </c>
    </row>
    <row r="22" spans="1:1" hidden="1" x14ac:dyDescent="0.25">
      <c r="A22" s="67">
        <v>9.3000000000000007</v>
      </c>
    </row>
    <row r="23" spans="1:1" hidden="1" x14ac:dyDescent="0.25">
      <c r="A23" s="67">
        <v>0.52</v>
      </c>
    </row>
    <row r="24" spans="1:1" hidden="1" x14ac:dyDescent="0.25">
      <c r="A24" s="67">
        <v>0.08</v>
      </c>
    </row>
    <row r="25" spans="1:1" hidden="1" x14ac:dyDescent="0.25">
      <c r="A25" s="67">
        <v>2.4E-2</v>
      </c>
    </row>
    <row r="26" spans="1:1" hidden="1" x14ac:dyDescent="0.25"/>
    <row r="27" spans="1:1" hidden="1" x14ac:dyDescent="0.25"/>
    <row r="28" spans="1:1" hidden="1" x14ac:dyDescent="0.25"/>
    <row r="29" spans="1:1" hidden="1" x14ac:dyDescent="0.25">
      <c r="A29" s="67" t="s">
        <v>7</v>
      </c>
    </row>
    <row r="30" spans="1:1" hidden="1" x14ac:dyDescent="0.25">
      <c r="A30" s="67" t="s">
        <v>55</v>
      </c>
    </row>
    <row r="31" spans="1:1" hidden="1" x14ac:dyDescent="0.25">
      <c r="A31" s="67" t="s">
        <v>16</v>
      </c>
    </row>
    <row r="32" spans="1:1" hidden="1" x14ac:dyDescent="0.25">
      <c r="A32" s="67" t="s">
        <v>17</v>
      </c>
    </row>
    <row r="33" spans="1:1" hidden="1" x14ac:dyDescent="0.25"/>
    <row r="34" spans="1:1" hidden="1" x14ac:dyDescent="0.25">
      <c r="A34" s="67" t="s">
        <v>6</v>
      </c>
    </row>
    <row r="35" spans="1:1" hidden="1" x14ac:dyDescent="0.25">
      <c r="A35" s="67" t="s">
        <v>14</v>
      </c>
    </row>
    <row r="36" spans="1:1" hidden="1" x14ac:dyDescent="0.25">
      <c r="A36" s="67" t="s">
        <v>21</v>
      </c>
    </row>
    <row r="37" spans="1:1" hidden="1" x14ac:dyDescent="0.25">
      <c r="A37" s="67" t="s">
        <v>71</v>
      </c>
    </row>
    <row r="38" spans="1:1" hidden="1" x14ac:dyDescent="0.25"/>
    <row r="39" spans="1:1" hidden="1" x14ac:dyDescent="0.25">
      <c r="A39" s="67" t="s">
        <v>56</v>
      </c>
    </row>
    <row r="40" spans="1:1" hidden="1" x14ac:dyDescent="0.25">
      <c r="A40" s="67" t="s">
        <v>57</v>
      </c>
    </row>
    <row r="41" spans="1:1" hidden="1" x14ac:dyDescent="0.25">
      <c r="A41" s="67" t="s">
        <v>58</v>
      </c>
    </row>
    <row r="42" spans="1:1" hidden="1" x14ac:dyDescent="0.25">
      <c r="A42" s="67" t="s">
        <v>59</v>
      </c>
    </row>
    <row r="43" spans="1:1" hidden="1" x14ac:dyDescent="0.25">
      <c r="A43" s="67" t="s">
        <v>60</v>
      </c>
    </row>
    <row r="44" spans="1:1" hidden="1" x14ac:dyDescent="0.25">
      <c r="A44" s="67" t="s">
        <v>61</v>
      </c>
    </row>
    <row r="45" spans="1:1" hidden="1" x14ac:dyDescent="0.25"/>
    <row r="46" spans="1:1" hidden="1" x14ac:dyDescent="0.25">
      <c r="A46" s="67" t="s">
        <v>108</v>
      </c>
    </row>
    <row r="47" spans="1:1" hidden="1" x14ac:dyDescent="0.25">
      <c r="A47" s="67" t="s">
        <v>34</v>
      </c>
    </row>
    <row r="48" spans="1:1" hidden="1" x14ac:dyDescent="0.25">
      <c r="A48" s="67" t="s">
        <v>35</v>
      </c>
    </row>
    <row r="49" spans="1:8" hidden="1" x14ac:dyDescent="0.25">
      <c r="A49" s="67" t="s">
        <v>15</v>
      </c>
    </row>
    <row r="50" spans="1:8" hidden="1" x14ac:dyDescent="0.25"/>
    <row r="51" spans="1:8" hidden="1" x14ac:dyDescent="0.25">
      <c r="A51" s="67" t="s">
        <v>62</v>
      </c>
    </row>
    <row r="52" spans="1:8" ht="18" hidden="1" x14ac:dyDescent="0.35">
      <c r="A52" s="67" t="s">
        <v>63</v>
      </c>
    </row>
    <row r="53" spans="1:8" ht="18" hidden="1" x14ac:dyDescent="0.35">
      <c r="A53" s="67" t="s">
        <v>64</v>
      </c>
    </row>
    <row r="54" spans="1:8" ht="18" hidden="1" x14ac:dyDescent="0.35">
      <c r="A54" s="67" t="s">
        <v>65</v>
      </c>
    </row>
    <row r="55" spans="1:8" ht="32.25" hidden="1" customHeight="1" x14ac:dyDescent="0.25">
      <c r="A55" s="67">
        <f>IF('Project Info'!C10="High",0.1,IF('Project Info'!C10="Medium",0.3,0.5))</f>
        <v>0.5</v>
      </c>
    </row>
    <row r="56" spans="1:8" ht="16.5" hidden="1" customHeight="1" x14ac:dyDescent="0.25"/>
    <row r="57" spans="1:8" ht="14.45" customHeight="1" thickBot="1" x14ac:dyDescent="0.3">
      <c r="B57" s="219" t="s">
        <v>66</v>
      </c>
      <c r="C57" s="219"/>
      <c r="D57" s="219"/>
      <c r="E57" s="219"/>
      <c r="F57" s="219"/>
      <c r="G57" s="219"/>
      <c r="H57" s="219"/>
    </row>
    <row r="58" spans="1:8" ht="14.45" customHeight="1" thickBot="1" x14ac:dyDescent="0.3">
      <c r="B58" s="3" t="s">
        <v>81</v>
      </c>
      <c r="C58" s="3" t="s">
        <v>67</v>
      </c>
      <c r="D58" s="4" t="s">
        <v>7</v>
      </c>
      <c r="E58" s="5" t="s">
        <v>4</v>
      </c>
      <c r="F58" s="4" t="s">
        <v>13</v>
      </c>
      <c r="G58" s="4" t="s">
        <v>68</v>
      </c>
      <c r="H58" s="6" t="s">
        <v>69</v>
      </c>
    </row>
    <row r="59" spans="1:8" ht="14.45" customHeight="1" thickBot="1" x14ac:dyDescent="0.3">
      <c r="A59" s="67" t="str">
        <f>CONCATENATE(A$40,B59,C59,D59,E59)</f>
        <v>Bioretention0.5Q2AFlatLindbergh</v>
      </c>
      <c r="B59" s="7" t="s">
        <v>70</v>
      </c>
      <c r="C59" s="7" t="s">
        <v>13</v>
      </c>
      <c r="D59" s="7" t="s">
        <v>55</v>
      </c>
      <c r="E59" s="8" t="s">
        <v>24</v>
      </c>
      <c r="F59" s="9">
        <v>0.06</v>
      </c>
      <c r="G59" s="10">
        <v>0.05</v>
      </c>
      <c r="H59" s="11" t="s">
        <v>71</v>
      </c>
    </row>
    <row r="60" spans="1:8" ht="14.45" customHeight="1" thickBot="1" x14ac:dyDescent="0.3">
      <c r="A60" s="67" t="str">
        <f t="shared" ref="A60:A123" si="0">CONCATENATE(A$40,B60,C60,D60,E60)</f>
        <v>Bioretention0.5Q2AModerateLindbergh</v>
      </c>
      <c r="B60" s="7" t="s">
        <v>70</v>
      </c>
      <c r="C60" s="7" t="s">
        <v>13</v>
      </c>
      <c r="D60" s="8" t="s">
        <v>16</v>
      </c>
      <c r="E60" s="8" t="s">
        <v>24</v>
      </c>
      <c r="F60" s="9">
        <v>5.5E-2</v>
      </c>
      <c r="G60" s="10">
        <v>4.58E-2</v>
      </c>
      <c r="H60" s="11" t="s">
        <v>71</v>
      </c>
    </row>
    <row r="61" spans="1:8" ht="14.45" customHeight="1" thickBot="1" x14ac:dyDescent="0.3">
      <c r="A61" s="67" t="str">
        <f t="shared" si="0"/>
        <v>Bioretention0.5Q2ASteepLindbergh</v>
      </c>
      <c r="B61" s="7" t="s">
        <v>70</v>
      </c>
      <c r="C61" s="7" t="s">
        <v>13</v>
      </c>
      <c r="D61" s="7" t="s">
        <v>17</v>
      </c>
      <c r="E61" s="8" t="s">
        <v>24</v>
      </c>
      <c r="F61" s="9">
        <v>4.4999999999999998E-2</v>
      </c>
      <c r="G61" s="10">
        <v>3.7499999999999999E-2</v>
      </c>
      <c r="H61" s="11" t="s">
        <v>71</v>
      </c>
    </row>
    <row r="62" spans="1:8" ht="14.45" customHeight="1" thickBot="1" x14ac:dyDescent="0.3">
      <c r="A62" s="67" t="str">
        <f t="shared" si="0"/>
        <v>Bioretention0.5Q2BFlatLindbergh</v>
      </c>
      <c r="B62" s="7" t="s">
        <v>70</v>
      </c>
      <c r="C62" s="7" t="s">
        <v>18</v>
      </c>
      <c r="D62" s="7" t="s">
        <v>55</v>
      </c>
      <c r="E62" s="8" t="s">
        <v>24</v>
      </c>
      <c r="F62" s="9">
        <v>9.2999999999999999E-2</v>
      </c>
      <c r="G62" s="10">
        <v>7.7100000000000002E-2</v>
      </c>
      <c r="H62" s="11" t="s">
        <v>71</v>
      </c>
    </row>
    <row r="63" spans="1:8" ht="14.45" customHeight="1" thickBot="1" x14ac:dyDescent="0.3">
      <c r="A63" s="67" t="str">
        <f t="shared" si="0"/>
        <v>Bioretention0.5Q2BModerateLindbergh</v>
      </c>
      <c r="B63" s="7" t="s">
        <v>70</v>
      </c>
      <c r="C63" s="7" t="s">
        <v>18</v>
      </c>
      <c r="D63" s="8" t="s">
        <v>16</v>
      </c>
      <c r="E63" s="8" t="s">
        <v>24</v>
      </c>
      <c r="F63" s="9">
        <v>8.5000000000000006E-2</v>
      </c>
      <c r="G63" s="10">
        <v>7.0800000000000002E-2</v>
      </c>
      <c r="H63" s="11" t="s">
        <v>71</v>
      </c>
    </row>
    <row r="64" spans="1:8" ht="14.45" customHeight="1" thickBot="1" x14ac:dyDescent="0.3">
      <c r="A64" s="67" t="str">
        <f t="shared" si="0"/>
        <v>Bioretention0.5Q2BSteepLindbergh</v>
      </c>
      <c r="B64" s="7" t="s">
        <v>70</v>
      </c>
      <c r="C64" s="7" t="s">
        <v>18</v>
      </c>
      <c r="D64" s="7" t="s">
        <v>17</v>
      </c>
      <c r="E64" s="8" t="s">
        <v>24</v>
      </c>
      <c r="F64" s="9">
        <v>6.5000000000000002E-2</v>
      </c>
      <c r="G64" s="10">
        <v>5.4199999999999998E-2</v>
      </c>
      <c r="H64" s="11" t="s">
        <v>71</v>
      </c>
    </row>
    <row r="65" spans="1:8" ht="14.45" customHeight="1" thickBot="1" x14ac:dyDescent="0.3">
      <c r="A65" s="67" t="str">
        <f t="shared" si="0"/>
        <v>Bioretention0.5Q2CFlatLindbergh</v>
      </c>
      <c r="B65" s="7" t="s">
        <v>70</v>
      </c>
      <c r="C65" s="7" t="s">
        <v>19</v>
      </c>
      <c r="D65" s="7" t="s">
        <v>55</v>
      </c>
      <c r="E65" s="8" t="s">
        <v>24</v>
      </c>
      <c r="F65" s="9">
        <v>0.1</v>
      </c>
      <c r="G65" s="10">
        <v>8.3299999999999999E-2</v>
      </c>
      <c r="H65" s="12">
        <v>0.06</v>
      </c>
    </row>
    <row r="66" spans="1:8" ht="14.45" customHeight="1" thickBot="1" x14ac:dyDescent="0.3">
      <c r="A66" s="67" t="str">
        <f t="shared" si="0"/>
        <v>Bioretention0.5Q2CModerateLindbergh</v>
      </c>
      <c r="B66" s="7" t="s">
        <v>70</v>
      </c>
      <c r="C66" s="7" t="s">
        <v>19</v>
      </c>
      <c r="D66" s="8" t="s">
        <v>16</v>
      </c>
      <c r="E66" s="8" t="s">
        <v>24</v>
      </c>
      <c r="F66" s="9">
        <v>0.1</v>
      </c>
      <c r="G66" s="10">
        <v>8.3299999999999999E-2</v>
      </c>
      <c r="H66" s="12">
        <v>0.06</v>
      </c>
    </row>
    <row r="67" spans="1:8" ht="14.45" customHeight="1" thickBot="1" x14ac:dyDescent="0.3">
      <c r="A67" s="67" t="str">
        <f t="shared" si="0"/>
        <v>Bioretention0.5Q2CSteepLindbergh</v>
      </c>
      <c r="B67" s="7" t="s">
        <v>70</v>
      </c>
      <c r="C67" s="7" t="s">
        <v>19</v>
      </c>
      <c r="D67" s="7" t="s">
        <v>17</v>
      </c>
      <c r="E67" s="8" t="s">
        <v>24</v>
      </c>
      <c r="F67" s="9">
        <v>7.4999999999999997E-2</v>
      </c>
      <c r="G67" s="10">
        <v>6.25E-2</v>
      </c>
      <c r="H67" s="12">
        <v>4.4999999999999998E-2</v>
      </c>
    </row>
    <row r="68" spans="1:8" ht="14.45" customHeight="1" thickBot="1" x14ac:dyDescent="0.3">
      <c r="A68" s="67" t="str">
        <f t="shared" si="0"/>
        <v>Bioretention0.5Q2DFlatLindbergh</v>
      </c>
      <c r="B68" s="7" t="s">
        <v>70</v>
      </c>
      <c r="C68" s="7" t="s">
        <v>20</v>
      </c>
      <c r="D68" s="7" t="s">
        <v>55</v>
      </c>
      <c r="E68" s="8" t="s">
        <v>24</v>
      </c>
      <c r="F68" s="9">
        <v>0.08</v>
      </c>
      <c r="G68" s="10">
        <v>6.6699999999999995E-2</v>
      </c>
      <c r="H68" s="12">
        <v>4.8000000000000001E-2</v>
      </c>
    </row>
    <row r="69" spans="1:8" ht="14.45" customHeight="1" thickBot="1" x14ac:dyDescent="0.3">
      <c r="A69" s="67" t="str">
        <f t="shared" si="0"/>
        <v>Bioretention0.5Q2DModerateLindbergh</v>
      </c>
      <c r="B69" s="7" t="s">
        <v>70</v>
      </c>
      <c r="C69" s="7" t="s">
        <v>20</v>
      </c>
      <c r="D69" s="8" t="s">
        <v>16</v>
      </c>
      <c r="E69" s="8" t="s">
        <v>24</v>
      </c>
      <c r="F69" s="9">
        <v>0.08</v>
      </c>
      <c r="G69" s="10">
        <v>6.6699999999999995E-2</v>
      </c>
      <c r="H69" s="12">
        <v>4.8000000000000001E-2</v>
      </c>
    </row>
    <row r="70" spans="1:8" ht="14.45" customHeight="1" thickBot="1" x14ac:dyDescent="0.3">
      <c r="A70" s="67" t="str">
        <f t="shared" si="0"/>
        <v>Bioretention0.5Q2DSteepLindbergh</v>
      </c>
      <c r="B70" s="7" t="s">
        <v>70</v>
      </c>
      <c r="C70" s="7" t="s">
        <v>20</v>
      </c>
      <c r="D70" s="7" t="s">
        <v>17</v>
      </c>
      <c r="E70" s="8" t="s">
        <v>24</v>
      </c>
      <c r="F70" s="9">
        <v>0.06</v>
      </c>
      <c r="G70" s="10">
        <v>0.05</v>
      </c>
      <c r="H70" s="12">
        <v>3.5999999999999997E-2</v>
      </c>
    </row>
    <row r="71" spans="1:8" ht="14.45" customHeight="1" thickBot="1" x14ac:dyDescent="0.3">
      <c r="A71" s="67" t="str">
        <f t="shared" si="0"/>
        <v>Bioretention0.5Q2AFlatOceanside</v>
      </c>
      <c r="B71" s="7" t="s">
        <v>70</v>
      </c>
      <c r="C71" s="7" t="s">
        <v>13</v>
      </c>
      <c r="D71" s="7" t="s">
        <v>55</v>
      </c>
      <c r="E71" s="8" t="s">
        <v>23</v>
      </c>
      <c r="F71" s="9">
        <v>7.0000000000000007E-2</v>
      </c>
      <c r="G71" s="10">
        <v>5.8299999999999998E-2</v>
      </c>
      <c r="H71" s="11" t="s">
        <v>71</v>
      </c>
    </row>
    <row r="72" spans="1:8" ht="14.45" customHeight="1" thickBot="1" x14ac:dyDescent="0.3">
      <c r="A72" s="67" t="str">
        <f t="shared" si="0"/>
        <v>Bioretention0.5Q2AModerateOceanside</v>
      </c>
      <c r="B72" s="7" t="s">
        <v>70</v>
      </c>
      <c r="C72" s="7" t="s">
        <v>13</v>
      </c>
      <c r="D72" s="8" t="s">
        <v>16</v>
      </c>
      <c r="E72" s="8" t="s">
        <v>23</v>
      </c>
      <c r="F72" s="9">
        <v>6.5000000000000002E-2</v>
      </c>
      <c r="G72" s="10">
        <v>5.4199999999999998E-2</v>
      </c>
      <c r="H72" s="11" t="s">
        <v>71</v>
      </c>
    </row>
    <row r="73" spans="1:8" ht="14.45" customHeight="1" thickBot="1" x14ac:dyDescent="0.3">
      <c r="A73" s="67" t="str">
        <f t="shared" si="0"/>
        <v>Bioretention0.5Q2ASteepOceanside</v>
      </c>
      <c r="B73" s="7" t="s">
        <v>70</v>
      </c>
      <c r="C73" s="7" t="s">
        <v>13</v>
      </c>
      <c r="D73" s="7" t="s">
        <v>17</v>
      </c>
      <c r="E73" s="8" t="s">
        <v>23</v>
      </c>
      <c r="F73" s="9">
        <v>0.06</v>
      </c>
      <c r="G73" s="10">
        <v>0.05</v>
      </c>
      <c r="H73" s="11" t="s">
        <v>71</v>
      </c>
    </row>
    <row r="74" spans="1:8" ht="14.45" customHeight="1" thickBot="1" x14ac:dyDescent="0.3">
      <c r="A74" s="67" t="str">
        <f t="shared" si="0"/>
        <v>Bioretention0.5Q2BFlatOceanside</v>
      </c>
      <c r="B74" s="7" t="s">
        <v>70</v>
      </c>
      <c r="C74" s="7" t="s">
        <v>18</v>
      </c>
      <c r="D74" s="7" t="s">
        <v>55</v>
      </c>
      <c r="E74" s="8" t="s">
        <v>23</v>
      </c>
      <c r="F74" s="9">
        <v>9.8000000000000004E-2</v>
      </c>
      <c r="G74" s="10">
        <v>8.1299999999999997E-2</v>
      </c>
      <c r="H74" s="11" t="s">
        <v>71</v>
      </c>
    </row>
    <row r="75" spans="1:8" ht="14.45" customHeight="1" thickBot="1" x14ac:dyDescent="0.3">
      <c r="A75" s="67" t="str">
        <f t="shared" si="0"/>
        <v>Bioretention0.5Q2BModerateOceanside</v>
      </c>
      <c r="B75" s="7" t="s">
        <v>70</v>
      </c>
      <c r="C75" s="7" t="s">
        <v>18</v>
      </c>
      <c r="D75" s="8" t="s">
        <v>16</v>
      </c>
      <c r="E75" s="8" t="s">
        <v>23</v>
      </c>
      <c r="F75" s="9">
        <v>0.09</v>
      </c>
      <c r="G75" s="10">
        <v>7.4999999999999997E-2</v>
      </c>
      <c r="H75" s="11" t="s">
        <v>71</v>
      </c>
    </row>
    <row r="76" spans="1:8" ht="14.45" customHeight="1" thickBot="1" x14ac:dyDescent="0.3">
      <c r="A76" s="67" t="str">
        <f t="shared" si="0"/>
        <v>Bioretention0.5Q2BSteepOceanside</v>
      </c>
      <c r="B76" s="7" t="s">
        <v>70</v>
      </c>
      <c r="C76" s="7" t="s">
        <v>18</v>
      </c>
      <c r="D76" s="7" t="s">
        <v>17</v>
      </c>
      <c r="E76" s="8" t="s">
        <v>23</v>
      </c>
      <c r="F76" s="9">
        <v>7.4999999999999997E-2</v>
      </c>
      <c r="G76" s="10">
        <v>6.25E-2</v>
      </c>
      <c r="H76" s="11" t="s">
        <v>71</v>
      </c>
    </row>
    <row r="77" spans="1:8" ht="14.45" customHeight="1" thickBot="1" x14ac:dyDescent="0.3">
      <c r="A77" s="67" t="str">
        <f t="shared" si="0"/>
        <v>Bioretention0.5Q2CFlatOceanside</v>
      </c>
      <c r="B77" s="7" t="s">
        <v>70</v>
      </c>
      <c r="C77" s="7" t="s">
        <v>19</v>
      </c>
      <c r="D77" s="7" t="s">
        <v>55</v>
      </c>
      <c r="E77" s="8" t="s">
        <v>23</v>
      </c>
      <c r="F77" s="9">
        <v>7.4999999999999997E-2</v>
      </c>
      <c r="G77" s="10">
        <v>6.25E-2</v>
      </c>
      <c r="H77" s="12">
        <v>4.4999999999999998E-2</v>
      </c>
    </row>
    <row r="78" spans="1:8" ht="14.45" customHeight="1" thickBot="1" x14ac:dyDescent="0.3">
      <c r="A78" s="67" t="str">
        <f t="shared" si="0"/>
        <v>Bioretention0.5Q2CModerateOceanside</v>
      </c>
      <c r="B78" s="7" t="s">
        <v>70</v>
      </c>
      <c r="C78" s="7" t="s">
        <v>19</v>
      </c>
      <c r="D78" s="8" t="s">
        <v>16</v>
      </c>
      <c r="E78" s="8" t="s">
        <v>23</v>
      </c>
      <c r="F78" s="9">
        <v>7.4999999999999997E-2</v>
      </c>
      <c r="G78" s="10">
        <v>6.25E-2</v>
      </c>
      <c r="H78" s="12">
        <v>4.4999999999999998E-2</v>
      </c>
    </row>
    <row r="79" spans="1:8" ht="14.45" customHeight="1" thickBot="1" x14ac:dyDescent="0.3">
      <c r="A79" s="67" t="str">
        <f t="shared" si="0"/>
        <v>Bioretention0.5Q2CSteepOceanside</v>
      </c>
      <c r="B79" s="7" t="s">
        <v>70</v>
      </c>
      <c r="C79" s="7" t="s">
        <v>19</v>
      </c>
      <c r="D79" s="7" t="s">
        <v>17</v>
      </c>
      <c r="E79" s="8" t="s">
        <v>23</v>
      </c>
      <c r="F79" s="9">
        <v>0.06</v>
      </c>
      <c r="G79" s="10">
        <v>0.05</v>
      </c>
      <c r="H79" s="12">
        <v>3.5999999999999997E-2</v>
      </c>
    </row>
    <row r="80" spans="1:8" ht="14.45" customHeight="1" thickBot="1" x14ac:dyDescent="0.3">
      <c r="A80" s="67" t="str">
        <f t="shared" si="0"/>
        <v>Bioretention0.5Q2DFlatOceanside</v>
      </c>
      <c r="B80" s="7" t="s">
        <v>70</v>
      </c>
      <c r="C80" s="7" t="s">
        <v>20</v>
      </c>
      <c r="D80" s="7" t="s">
        <v>55</v>
      </c>
      <c r="E80" s="8" t="s">
        <v>23</v>
      </c>
      <c r="F80" s="9">
        <v>6.5000000000000002E-2</v>
      </c>
      <c r="G80" s="10">
        <v>5.4199999999999998E-2</v>
      </c>
      <c r="H80" s="12">
        <v>3.9E-2</v>
      </c>
    </row>
    <row r="81" spans="1:8" ht="14.45" customHeight="1" thickBot="1" x14ac:dyDescent="0.3">
      <c r="A81" s="67" t="str">
        <f t="shared" si="0"/>
        <v>Bioretention0.5Q2DModerateOceanside</v>
      </c>
      <c r="B81" s="7" t="s">
        <v>70</v>
      </c>
      <c r="C81" s="7" t="s">
        <v>20</v>
      </c>
      <c r="D81" s="8" t="s">
        <v>16</v>
      </c>
      <c r="E81" s="8" t="s">
        <v>23</v>
      </c>
      <c r="F81" s="9">
        <v>6.5000000000000002E-2</v>
      </c>
      <c r="G81" s="10">
        <v>5.4199999999999998E-2</v>
      </c>
      <c r="H81" s="12">
        <v>3.9E-2</v>
      </c>
    </row>
    <row r="82" spans="1:8" ht="14.45" customHeight="1" thickBot="1" x14ac:dyDescent="0.3">
      <c r="A82" s="67" t="str">
        <f t="shared" si="0"/>
        <v>Bioretention0.5Q2DSteepOceanside</v>
      </c>
      <c r="B82" s="7" t="s">
        <v>70</v>
      </c>
      <c r="C82" s="7" t="s">
        <v>20</v>
      </c>
      <c r="D82" s="7" t="s">
        <v>17</v>
      </c>
      <c r="E82" s="8" t="s">
        <v>23</v>
      </c>
      <c r="F82" s="9">
        <v>0.05</v>
      </c>
      <c r="G82" s="10">
        <v>4.1700000000000001E-2</v>
      </c>
      <c r="H82" s="12">
        <v>0.03</v>
      </c>
    </row>
    <row r="83" spans="1:8" ht="14.45" customHeight="1" thickBot="1" x14ac:dyDescent="0.3">
      <c r="A83" s="67" t="str">
        <f t="shared" si="0"/>
        <v>Bioretention0.5Q2AFlatLake Wohlford</v>
      </c>
      <c r="B83" s="7" t="s">
        <v>70</v>
      </c>
      <c r="C83" s="7" t="s">
        <v>13</v>
      </c>
      <c r="D83" s="7" t="s">
        <v>55</v>
      </c>
      <c r="E83" s="7" t="s">
        <v>12</v>
      </c>
      <c r="F83" s="9">
        <v>0.05</v>
      </c>
      <c r="G83" s="10">
        <v>4.1700000000000001E-2</v>
      </c>
      <c r="H83" s="11" t="s">
        <v>71</v>
      </c>
    </row>
    <row r="84" spans="1:8" ht="14.45" customHeight="1" thickBot="1" x14ac:dyDescent="0.3">
      <c r="A84" s="67" t="str">
        <f t="shared" si="0"/>
        <v>Bioretention0.5Q2AModerateLake Wohlford</v>
      </c>
      <c r="B84" s="7" t="s">
        <v>70</v>
      </c>
      <c r="C84" s="7" t="s">
        <v>13</v>
      </c>
      <c r="D84" s="8" t="s">
        <v>16</v>
      </c>
      <c r="E84" s="7" t="s">
        <v>12</v>
      </c>
      <c r="F84" s="9">
        <v>4.4999999999999998E-2</v>
      </c>
      <c r="G84" s="10">
        <v>3.7499999999999999E-2</v>
      </c>
      <c r="H84" s="11" t="s">
        <v>71</v>
      </c>
    </row>
    <row r="85" spans="1:8" ht="14.45" customHeight="1" thickBot="1" x14ac:dyDescent="0.3">
      <c r="A85" s="67" t="str">
        <f t="shared" si="0"/>
        <v>Bioretention0.5Q2ASteepLake Wohlford</v>
      </c>
      <c r="B85" s="7" t="s">
        <v>70</v>
      </c>
      <c r="C85" s="7" t="s">
        <v>13</v>
      </c>
      <c r="D85" s="7" t="s">
        <v>17</v>
      </c>
      <c r="E85" s="7" t="s">
        <v>12</v>
      </c>
      <c r="F85" s="9">
        <v>0.04</v>
      </c>
      <c r="G85" s="10">
        <v>3.3300000000000003E-2</v>
      </c>
      <c r="H85" s="11" t="s">
        <v>71</v>
      </c>
    </row>
    <row r="86" spans="1:8" ht="14.45" customHeight="1" thickBot="1" x14ac:dyDescent="0.3">
      <c r="A86" s="67" t="str">
        <f t="shared" si="0"/>
        <v>Bioretention0.5Q2BFlatLake Wohlford</v>
      </c>
      <c r="B86" s="7" t="s">
        <v>70</v>
      </c>
      <c r="C86" s="7" t="s">
        <v>18</v>
      </c>
      <c r="D86" s="7" t="s">
        <v>55</v>
      </c>
      <c r="E86" s="7" t="s">
        <v>12</v>
      </c>
      <c r="F86" s="9">
        <v>4.8000000000000001E-2</v>
      </c>
      <c r="G86" s="10">
        <v>3.9600000000000003E-2</v>
      </c>
      <c r="H86" s="11" t="s">
        <v>71</v>
      </c>
    </row>
    <row r="87" spans="1:8" ht="14.45" customHeight="1" thickBot="1" x14ac:dyDescent="0.3">
      <c r="A87" s="67" t="str">
        <f t="shared" si="0"/>
        <v>Bioretention0.5Q2BModerateLake Wohlford</v>
      </c>
      <c r="B87" s="7" t="s">
        <v>70</v>
      </c>
      <c r="C87" s="7" t="s">
        <v>18</v>
      </c>
      <c r="D87" s="8" t="s">
        <v>16</v>
      </c>
      <c r="E87" s="7" t="s">
        <v>12</v>
      </c>
      <c r="F87" s="9">
        <v>4.4999999999999998E-2</v>
      </c>
      <c r="G87" s="10">
        <v>3.7499999999999999E-2</v>
      </c>
      <c r="H87" s="11" t="s">
        <v>71</v>
      </c>
    </row>
    <row r="88" spans="1:8" ht="14.45" customHeight="1" thickBot="1" x14ac:dyDescent="0.3">
      <c r="A88" s="67" t="str">
        <f t="shared" si="0"/>
        <v>Bioretention0.5Q2BSteepLake Wohlford</v>
      </c>
      <c r="B88" s="7" t="s">
        <v>70</v>
      </c>
      <c r="C88" s="7" t="s">
        <v>18</v>
      </c>
      <c r="D88" s="7" t="s">
        <v>17</v>
      </c>
      <c r="E88" s="7" t="s">
        <v>12</v>
      </c>
      <c r="F88" s="9">
        <v>0.04</v>
      </c>
      <c r="G88" s="10">
        <v>3.3300000000000003E-2</v>
      </c>
      <c r="H88" s="11" t="s">
        <v>71</v>
      </c>
    </row>
    <row r="89" spans="1:8" ht="14.45" customHeight="1" thickBot="1" x14ac:dyDescent="0.3">
      <c r="A89" s="67" t="str">
        <f t="shared" si="0"/>
        <v>Bioretention0.5Q2CFlatLake Wohlford</v>
      </c>
      <c r="B89" s="7" t="s">
        <v>70</v>
      </c>
      <c r="C89" s="7" t="s">
        <v>19</v>
      </c>
      <c r="D89" s="7" t="s">
        <v>55</v>
      </c>
      <c r="E89" s="7" t="s">
        <v>12</v>
      </c>
      <c r="F89" s="9">
        <v>6.5000000000000002E-2</v>
      </c>
      <c r="G89" s="10">
        <v>5.4199999999999998E-2</v>
      </c>
      <c r="H89" s="12">
        <v>3.9E-2</v>
      </c>
    </row>
    <row r="90" spans="1:8" ht="14.45" customHeight="1" thickBot="1" x14ac:dyDescent="0.3">
      <c r="A90" s="67" t="str">
        <f t="shared" si="0"/>
        <v>Bioretention0.5Q2CModerateLake Wohlford</v>
      </c>
      <c r="B90" s="7" t="s">
        <v>70</v>
      </c>
      <c r="C90" s="7" t="s">
        <v>19</v>
      </c>
      <c r="D90" s="8" t="s">
        <v>16</v>
      </c>
      <c r="E90" s="7" t="s">
        <v>12</v>
      </c>
      <c r="F90" s="9">
        <v>6.5000000000000002E-2</v>
      </c>
      <c r="G90" s="10">
        <v>5.4199999999999998E-2</v>
      </c>
      <c r="H90" s="12">
        <v>3.9E-2</v>
      </c>
    </row>
    <row r="91" spans="1:8" ht="14.45" customHeight="1" thickBot="1" x14ac:dyDescent="0.3">
      <c r="A91" s="67" t="str">
        <f t="shared" si="0"/>
        <v>Bioretention0.5Q2CSteepLake Wohlford</v>
      </c>
      <c r="B91" s="7" t="s">
        <v>70</v>
      </c>
      <c r="C91" s="7" t="s">
        <v>19</v>
      </c>
      <c r="D91" s="7" t="s">
        <v>17</v>
      </c>
      <c r="E91" s="7" t="s">
        <v>12</v>
      </c>
      <c r="F91" s="9">
        <v>0.05</v>
      </c>
      <c r="G91" s="10">
        <v>4.1700000000000001E-2</v>
      </c>
      <c r="H91" s="12">
        <v>0.03</v>
      </c>
    </row>
    <row r="92" spans="1:8" ht="14.45" customHeight="1" thickBot="1" x14ac:dyDescent="0.3">
      <c r="A92" s="67" t="str">
        <f t="shared" si="0"/>
        <v>Bioretention0.5Q2DFlatLake Wohlford</v>
      </c>
      <c r="B92" s="7" t="s">
        <v>70</v>
      </c>
      <c r="C92" s="7" t="s">
        <v>20</v>
      </c>
      <c r="D92" s="7" t="s">
        <v>55</v>
      </c>
      <c r="E92" s="7" t="s">
        <v>12</v>
      </c>
      <c r="F92" s="9">
        <v>5.5E-2</v>
      </c>
      <c r="G92" s="10">
        <v>4.58E-2</v>
      </c>
      <c r="H92" s="12">
        <v>3.3000000000000002E-2</v>
      </c>
    </row>
    <row r="93" spans="1:8" ht="14.45" customHeight="1" thickBot="1" x14ac:dyDescent="0.3">
      <c r="A93" s="67" t="str">
        <f t="shared" si="0"/>
        <v>Bioretention0.5Q2DModerateLake Wohlford</v>
      </c>
      <c r="B93" s="7" t="s">
        <v>70</v>
      </c>
      <c r="C93" s="7" t="s">
        <v>20</v>
      </c>
      <c r="D93" s="8" t="s">
        <v>16</v>
      </c>
      <c r="E93" s="7" t="s">
        <v>12</v>
      </c>
      <c r="F93" s="9">
        <v>5.5E-2</v>
      </c>
      <c r="G93" s="10">
        <v>4.58E-2</v>
      </c>
      <c r="H93" s="12">
        <v>3.3000000000000002E-2</v>
      </c>
    </row>
    <row r="94" spans="1:8" ht="14.45" customHeight="1" thickBot="1" x14ac:dyDescent="0.3">
      <c r="A94" s="67" t="str">
        <f t="shared" si="0"/>
        <v>Bioretention0.5Q2DSteepLake Wohlford</v>
      </c>
      <c r="B94" s="7" t="s">
        <v>70</v>
      </c>
      <c r="C94" s="7" t="s">
        <v>20</v>
      </c>
      <c r="D94" s="7" t="s">
        <v>17</v>
      </c>
      <c r="E94" s="7" t="s">
        <v>12</v>
      </c>
      <c r="F94" s="9">
        <v>4.4999999999999998E-2</v>
      </c>
      <c r="G94" s="10">
        <v>3.7499999999999999E-2</v>
      </c>
      <c r="H94" s="12">
        <v>2.7E-2</v>
      </c>
    </row>
    <row r="95" spans="1:8" ht="14.45" customHeight="1" thickBot="1" x14ac:dyDescent="0.3">
      <c r="A95" s="67" t="str">
        <f t="shared" si="0"/>
        <v>Bioretention0.3Q2AFlatLindbergh</v>
      </c>
      <c r="B95" s="7" t="s">
        <v>72</v>
      </c>
      <c r="C95" s="7" t="s">
        <v>13</v>
      </c>
      <c r="D95" s="7" t="s">
        <v>55</v>
      </c>
      <c r="E95" s="8" t="s">
        <v>24</v>
      </c>
      <c r="F95" s="9">
        <v>0.06</v>
      </c>
      <c r="G95" s="10">
        <v>0.05</v>
      </c>
      <c r="H95" s="11" t="s">
        <v>71</v>
      </c>
    </row>
    <row r="96" spans="1:8" ht="14.45" customHeight="1" thickBot="1" x14ac:dyDescent="0.3">
      <c r="A96" s="67" t="str">
        <f t="shared" si="0"/>
        <v>Bioretention0.3Q2AModerateLindbergh</v>
      </c>
      <c r="B96" s="7" t="s">
        <v>72</v>
      </c>
      <c r="C96" s="7" t="s">
        <v>13</v>
      </c>
      <c r="D96" s="8" t="s">
        <v>16</v>
      </c>
      <c r="E96" s="8" t="s">
        <v>24</v>
      </c>
      <c r="F96" s="9">
        <v>5.5E-2</v>
      </c>
      <c r="G96" s="10">
        <v>4.58E-2</v>
      </c>
      <c r="H96" s="11" t="s">
        <v>71</v>
      </c>
    </row>
    <row r="97" spans="1:8" ht="14.45" customHeight="1" thickBot="1" x14ac:dyDescent="0.3">
      <c r="A97" s="67" t="str">
        <f t="shared" si="0"/>
        <v>Bioretention0.3Q2ASteepLindbergh</v>
      </c>
      <c r="B97" s="7" t="s">
        <v>72</v>
      </c>
      <c r="C97" s="7" t="s">
        <v>13</v>
      </c>
      <c r="D97" s="7" t="s">
        <v>17</v>
      </c>
      <c r="E97" s="8" t="s">
        <v>24</v>
      </c>
      <c r="F97" s="9">
        <v>4.4999999999999998E-2</v>
      </c>
      <c r="G97" s="10">
        <v>3.7499999999999999E-2</v>
      </c>
      <c r="H97" s="11" t="s">
        <v>71</v>
      </c>
    </row>
    <row r="98" spans="1:8" ht="14.45" customHeight="1" thickBot="1" x14ac:dyDescent="0.3">
      <c r="A98" s="67" t="str">
        <f t="shared" si="0"/>
        <v>Bioretention0.3Q2BFlatLindbergh</v>
      </c>
      <c r="B98" s="7" t="s">
        <v>72</v>
      </c>
      <c r="C98" s="7" t="s">
        <v>18</v>
      </c>
      <c r="D98" s="7" t="s">
        <v>55</v>
      </c>
      <c r="E98" s="8" t="s">
        <v>24</v>
      </c>
      <c r="F98" s="9">
        <v>9.8000000000000004E-2</v>
      </c>
      <c r="G98" s="10">
        <v>8.1299999999999997E-2</v>
      </c>
      <c r="H98" s="11" t="s">
        <v>71</v>
      </c>
    </row>
    <row r="99" spans="1:8" ht="14.45" customHeight="1" thickBot="1" x14ac:dyDescent="0.3">
      <c r="A99" s="67" t="str">
        <f t="shared" si="0"/>
        <v>Bioretention0.3Q2BModerateLindbergh</v>
      </c>
      <c r="B99" s="7" t="s">
        <v>72</v>
      </c>
      <c r="C99" s="7" t="s">
        <v>18</v>
      </c>
      <c r="D99" s="8" t="s">
        <v>16</v>
      </c>
      <c r="E99" s="8" t="s">
        <v>24</v>
      </c>
      <c r="F99" s="9">
        <v>0.09</v>
      </c>
      <c r="G99" s="10">
        <v>7.4999999999999997E-2</v>
      </c>
      <c r="H99" s="11" t="s">
        <v>71</v>
      </c>
    </row>
    <row r="100" spans="1:8" ht="14.45" customHeight="1" thickBot="1" x14ac:dyDescent="0.3">
      <c r="A100" s="67" t="str">
        <f t="shared" si="0"/>
        <v>Bioretention0.3Q2BSteepLindbergh</v>
      </c>
      <c r="B100" s="7" t="s">
        <v>72</v>
      </c>
      <c r="C100" s="7" t="s">
        <v>18</v>
      </c>
      <c r="D100" s="7" t="s">
        <v>17</v>
      </c>
      <c r="E100" s="8" t="s">
        <v>24</v>
      </c>
      <c r="F100" s="9">
        <v>7.0000000000000007E-2</v>
      </c>
      <c r="G100" s="10">
        <v>5.8299999999999998E-2</v>
      </c>
      <c r="H100" s="11" t="s">
        <v>71</v>
      </c>
    </row>
    <row r="101" spans="1:8" ht="14.45" customHeight="1" thickBot="1" x14ac:dyDescent="0.3">
      <c r="A101" s="67" t="str">
        <f t="shared" si="0"/>
        <v>Bioretention0.3Q2CFlatLindbergh</v>
      </c>
      <c r="B101" s="7" t="s">
        <v>72</v>
      </c>
      <c r="C101" s="7" t="s">
        <v>19</v>
      </c>
      <c r="D101" s="7" t="s">
        <v>55</v>
      </c>
      <c r="E101" s="8" t="s">
        <v>24</v>
      </c>
      <c r="F101" s="9">
        <v>0.11</v>
      </c>
      <c r="G101" s="10">
        <v>9.1700000000000004E-2</v>
      </c>
      <c r="H101" s="12">
        <v>6.6000000000000003E-2</v>
      </c>
    </row>
    <row r="102" spans="1:8" ht="14.45" customHeight="1" thickBot="1" x14ac:dyDescent="0.3">
      <c r="A102" s="67" t="str">
        <f t="shared" si="0"/>
        <v>Bioretention0.3Q2CModerateLindbergh</v>
      </c>
      <c r="B102" s="7" t="s">
        <v>72</v>
      </c>
      <c r="C102" s="7" t="s">
        <v>19</v>
      </c>
      <c r="D102" s="8" t="s">
        <v>16</v>
      </c>
      <c r="E102" s="8" t="s">
        <v>24</v>
      </c>
      <c r="F102" s="9">
        <v>0.11</v>
      </c>
      <c r="G102" s="10">
        <v>9.1700000000000004E-2</v>
      </c>
      <c r="H102" s="12">
        <v>6.6000000000000003E-2</v>
      </c>
    </row>
    <row r="103" spans="1:8" ht="14.45" customHeight="1" thickBot="1" x14ac:dyDescent="0.3">
      <c r="A103" s="67" t="str">
        <f t="shared" si="0"/>
        <v>Bioretention0.3Q2CSteepLindbergh</v>
      </c>
      <c r="B103" s="7" t="s">
        <v>72</v>
      </c>
      <c r="C103" s="7" t="s">
        <v>19</v>
      </c>
      <c r="D103" s="7" t="s">
        <v>17</v>
      </c>
      <c r="E103" s="8" t="s">
        <v>24</v>
      </c>
      <c r="F103" s="9">
        <v>8.5000000000000006E-2</v>
      </c>
      <c r="G103" s="10">
        <v>7.0800000000000002E-2</v>
      </c>
      <c r="H103" s="12">
        <v>5.0999999999999997E-2</v>
      </c>
    </row>
    <row r="104" spans="1:8" ht="14.45" customHeight="1" thickBot="1" x14ac:dyDescent="0.3">
      <c r="A104" s="67" t="str">
        <f t="shared" si="0"/>
        <v>Bioretention0.3Q2DFlatLindbergh</v>
      </c>
      <c r="B104" s="7" t="s">
        <v>72</v>
      </c>
      <c r="C104" s="7" t="s">
        <v>20</v>
      </c>
      <c r="D104" s="7" t="s">
        <v>55</v>
      </c>
      <c r="E104" s="8" t="s">
        <v>24</v>
      </c>
      <c r="F104" s="9">
        <v>0.1</v>
      </c>
      <c r="G104" s="10">
        <v>8.3299999999999999E-2</v>
      </c>
      <c r="H104" s="12">
        <v>0.06</v>
      </c>
    </row>
    <row r="105" spans="1:8" ht="14.45" customHeight="1" thickBot="1" x14ac:dyDescent="0.3">
      <c r="A105" s="67" t="str">
        <f t="shared" si="0"/>
        <v>Bioretention0.3Q2DModerateLindbergh</v>
      </c>
      <c r="B105" s="7" t="s">
        <v>72</v>
      </c>
      <c r="C105" s="7" t="s">
        <v>20</v>
      </c>
      <c r="D105" s="8" t="s">
        <v>16</v>
      </c>
      <c r="E105" s="8" t="s">
        <v>24</v>
      </c>
      <c r="F105" s="9">
        <v>0.1</v>
      </c>
      <c r="G105" s="10">
        <v>8.3299999999999999E-2</v>
      </c>
      <c r="H105" s="12">
        <v>0.06</v>
      </c>
    </row>
    <row r="106" spans="1:8" ht="14.45" customHeight="1" thickBot="1" x14ac:dyDescent="0.3">
      <c r="A106" s="67" t="str">
        <f t="shared" si="0"/>
        <v>Bioretention0.3Q2DSteepLindbergh</v>
      </c>
      <c r="B106" s="7" t="s">
        <v>72</v>
      </c>
      <c r="C106" s="7" t="s">
        <v>20</v>
      </c>
      <c r="D106" s="7" t="s">
        <v>17</v>
      </c>
      <c r="E106" s="8" t="s">
        <v>24</v>
      </c>
      <c r="F106" s="9">
        <v>7.0000000000000007E-2</v>
      </c>
      <c r="G106" s="10">
        <v>5.8299999999999998E-2</v>
      </c>
      <c r="H106" s="12">
        <v>4.2000000000000003E-2</v>
      </c>
    </row>
    <row r="107" spans="1:8" ht="14.45" customHeight="1" thickBot="1" x14ac:dyDescent="0.3">
      <c r="A107" s="67" t="str">
        <f t="shared" si="0"/>
        <v>Bioretention0.3Q2AFlatOceanside</v>
      </c>
      <c r="B107" s="7" t="s">
        <v>72</v>
      </c>
      <c r="C107" s="7" t="s">
        <v>13</v>
      </c>
      <c r="D107" s="7" t="s">
        <v>55</v>
      </c>
      <c r="E107" s="8" t="s">
        <v>23</v>
      </c>
      <c r="F107" s="9">
        <v>7.0000000000000007E-2</v>
      </c>
      <c r="G107" s="10">
        <v>5.8299999999999998E-2</v>
      </c>
      <c r="H107" s="11" t="s">
        <v>71</v>
      </c>
    </row>
    <row r="108" spans="1:8" ht="14.45" customHeight="1" thickBot="1" x14ac:dyDescent="0.3">
      <c r="A108" s="67" t="str">
        <f t="shared" si="0"/>
        <v>Bioretention0.3Q2AModerateOceanside</v>
      </c>
      <c r="B108" s="7" t="s">
        <v>72</v>
      </c>
      <c r="C108" s="7" t="s">
        <v>13</v>
      </c>
      <c r="D108" s="8" t="s">
        <v>16</v>
      </c>
      <c r="E108" s="8" t="s">
        <v>23</v>
      </c>
      <c r="F108" s="9">
        <v>6.5000000000000002E-2</v>
      </c>
      <c r="G108" s="10">
        <v>5.4199999999999998E-2</v>
      </c>
      <c r="H108" s="11" t="s">
        <v>71</v>
      </c>
    </row>
    <row r="109" spans="1:8" ht="14.45" customHeight="1" thickBot="1" x14ac:dyDescent="0.3">
      <c r="A109" s="67" t="str">
        <f t="shared" si="0"/>
        <v>Bioretention0.3Q2ASteepOceanside</v>
      </c>
      <c r="B109" s="7" t="s">
        <v>72</v>
      </c>
      <c r="C109" s="7" t="s">
        <v>13</v>
      </c>
      <c r="D109" s="7" t="s">
        <v>17</v>
      </c>
      <c r="E109" s="8" t="s">
        <v>23</v>
      </c>
      <c r="F109" s="9">
        <v>0.06</v>
      </c>
      <c r="G109" s="10">
        <v>0.05</v>
      </c>
      <c r="H109" s="11" t="s">
        <v>71</v>
      </c>
    </row>
    <row r="110" spans="1:8" ht="14.45" customHeight="1" thickBot="1" x14ac:dyDescent="0.3">
      <c r="A110" s="67" t="str">
        <f t="shared" si="0"/>
        <v>Bioretention0.3Q2BFlatOceanside</v>
      </c>
      <c r="B110" s="7" t="s">
        <v>72</v>
      </c>
      <c r="C110" s="7" t="s">
        <v>18</v>
      </c>
      <c r="D110" s="7" t="s">
        <v>55</v>
      </c>
      <c r="E110" s="8" t="s">
        <v>23</v>
      </c>
      <c r="F110" s="9">
        <v>9.8000000000000004E-2</v>
      </c>
      <c r="G110" s="10">
        <v>8.1299999999999997E-2</v>
      </c>
      <c r="H110" s="11" t="s">
        <v>71</v>
      </c>
    </row>
    <row r="111" spans="1:8" ht="14.45" customHeight="1" thickBot="1" x14ac:dyDescent="0.3">
      <c r="A111" s="67" t="str">
        <f t="shared" si="0"/>
        <v>Bioretention0.3Q2BModerateOceanside</v>
      </c>
      <c r="B111" s="7" t="s">
        <v>72</v>
      </c>
      <c r="C111" s="7" t="s">
        <v>18</v>
      </c>
      <c r="D111" s="8" t="s">
        <v>16</v>
      </c>
      <c r="E111" s="8" t="s">
        <v>23</v>
      </c>
      <c r="F111" s="9">
        <v>0.09</v>
      </c>
      <c r="G111" s="10">
        <v>7.4999999999999997E-2</v>
      </c>
      <c r="H111" s="11" t="s">
        <v>71</v>
      </c>
    </row>
    <row r="112" spans="1:8" ht="14.45" customHeight="1" thickBot="1" x14ac:dyDescent="0.3">
      <c r="A112" s="67" t="str">
        <f t="shared" si="0"/>
        <v>Bioretention0.3Q2BSteepOceanside</v>
      </c>
      <c r="B112" s="7" t="s">
        <v>72</v>
      </c>
      <c r="C112" s="7" t="s">
        <v>18</v>
      </c>
      <c r="D112" s="7" t="s">
        <v>17</v>
      </c>
      <c r="E112" s="8" t="s">
        <v>23</v>
      </c>
      <c r="F112" s="9">
        <v>7.4999999999999997E-2</v>
      </c>
      <c r="G112" s="10">
        <v>6.25E-2</v>
      </c>
      <c r="H112" s="11" t="s">
        <v>71</v>
      </c>
    </row>
    <row r="113" spans="1:8" ht="14.45" customHeight="1" thickBot="1" x14ac:dyDescent="0.3">
      <c r="A113" s="67" t="str">
        <f t="shared" si="0"/>
        <v>Bioretention0.3Q2CFlatOceanside</v>
      </c>
      <c r="B113" s="7" t="s">
        <v>72</v>
      </c>
      <c r="C113" s="7" t="s">
        <v>19</v>
      </c>
      <c r="D113" s="7" t="s">
        <v>55</v>
      </c>
      <c r="E113" s="8" t="s">
        <v>23</v>
      </c>
      <c r="F113" s="9">
        <v>0.1</v>
      </c>
      <c r="G113" s="10">
        <v>8.3299999999999999E-2</v>
      </c>
      <c r="H113" s="12">
        <v>0.06</v>
      </c>
    </row>
    <row r="114" spans="1:8" ht="14.45" customHeight="1" thickBot="1" x14ac:dyDescent="0.3">
      <c r="A114" s="67" t="str">
        <f t="shared" si="0"/>
        <v>Bioretention0.3Q2CModerateOceanside</v>
      </c>
      <c r="B114" s="7" t="s">
        <v>72</v>
      </c>
      <c r="C114" s="7" t="s">
        <v>19</v>
      </c>
      <c r="D114" s="8" t="s">
        <v>16</v>
      </c>
      <c r="E114" s="8" t="s">
        <v>23</v>
      </c>
      <c r="F114" s="9">
        <v>0.1</v>
      </c>
      <c r="G114" s="10">
        <v>8.3299999999999999E-2</v>
      </c>
      <c r="H114" s="12">
        <v>0.06</v>
      </c>
    </row>
    <row r="115" spans="1:8" ht="14.45" customHeight="1" thickBot="1" x14ac:dyDescent="0.3">
      <c r="A115" s="67" t="str">
        <f t="shared" si="0"/>
        <v>Bioretention0.3Q2CSteepOceanside</v>
      </c>
      <c r="B115" s="7" t="s">
        <v>72</v>
      </c>
      <c r="C115" s="7" t="s">
        <v>19</v>
      </c>
      <c r="D115" s="7" t="s">
        <v>17</v>
      </c>
      <c r="E115" s="8" t="s">
        <v>23</v>
      </c>
      <c r="F115" s="9">
        <v>0.08</v>
      </c>
      <c r="G115" s="10">
        <v>6.6699999999999995E-2</v>
      </c>
      <c r="H115" s="12">
        <v>4.8000000000000001E-2</v>
      </c>
    </row>
    <row r="116" spans="1:8" ht="14.45" customHeight="1" thickBot="1" x14ac:dyDescent="0.3">
      <c r="A116" s="67" t="str">
        <f t="shared" si="0"/>
        <v>Bioretention0.3Q2DFlatOceanside</v>
      </c>
      <c r="B116" s="7" t="s">
        <v>72</v>
      </c>
      <c r="C116" s="7" t="s">
        <v>20</v>
      </c>
      <c r="D116" s="7" t="s">
        <v>55</v>
      </c>
      <c r="E116" s="8" t="s">
        <v>23</v>
      </c>
      <c r="F116" s="9">
        <v>8.5000000000000006E-2</v>
      </c>
      <c r="G116" s="10">
        <v>7.0800000000000002E-2</v>
      </c>
      <c r="H116" s="12">
        <v>5.0999999999999997E-2</v>
      </c>
    </row>
    <row r="117" spans="1:8" ht="14.45" customHeight="1" thickBot="1" x14ac:dyDescent="0.3">
      <c r="A117" s="67" t="str">
        <f t="shared" si="0"/>
        <v>Bioretention0.3Q2DModerateOceanside</v>
      </c>
      <c r="B117" s="7" t="s">
        <v>72</v>
      </c>
      <c r="C117" s="7" t="s">
        <v>20</v>
      </c>
      <c r="D117" s="8" t="s">
        <v>16</v>
      </c>
      <c r="E117" s="8" t="s">
        <v>23</v>
      </c>
      <c r="F117" s="9">
        <v>8.5000000000000006E-2</v>
      </c>
      <c r="G117" s="10">
        <v>7.0800000000000002E-2</v>
      </c>
      <c r="H117" s="12">
        <v>5.0999999999999997E-2</v>
      </c>
    </row>
    <row r="118" spans="1:8" ht="14.45" customHeight="1" thickBot="1" x14ac:dyDescent="0.3">
      <c r="A118" s="67" t="str">
        <f t="shared" si="0"/>
        <v>Bioretention0.3Q2DSteepOceanside</v>
      </c>
      <c r="B118" s="7" t="s">
        <v>72</v>
      </c>
      <c r="C118" s="7" t="s">
        <v>20</v>
      </c>
      <c r="D118" s="7" t="s">
        <v>17</v>
      </c>
      <c r="E118" s="8" t="s">
        <v>23</v>
      </c>
      <c r="F118" s="9">
        <v>6.5000000000000002E-2</v>
      </c>
      <c r="G118" s="10">
        <v>5.4199999999999998E-2</v>
      </c>
      <c r="H118" s="12">
        <v>3.9E-2</v>
      </c>
    </row>
    <row r="119" spans="1:8" ht="14.45" customHeight="1" thickBot="1" x14ac:dyDescent="0.3">
      <c r="A119" s="67" t="str">
        <f t="shared" si="0"/>
        <v>Bioretention0.3Q2AFlatLake Wohlford</v>
      </c>
      <c r="B119" s="7" t="s">
        <v>72</v>
      </c>
      <c r="C119" s="7" t="s">
        <v>13</v>
      </c>
      <c r="D119" s="7" t="s">
        <v>55</v>
      </c>
      <c r="E119" s="7" t="s">
        <v>12</v>
      </c>
      <c r="F119" s="9">
        <v>0.05</v>
      </c>
      <c r="G119" s="10">
        <v>4.1700000000000001E-2</v>
      </c>
      <c r="H119" s="11" t="s">
        <v>71</v>
      </c>
    </row>
    <row r="120" spans="1:8" ht="14.45" customHeight="1" thickBot="1" x14ac:dyDescent="0.3">
      <c r="A120" s="67" t="str">
        <f t="shared" si="0"/>
        <v>Bioretention0.3Q2AModerateLake Wohlford</v>
      </c>
      <c r="B120" s="7" t="s">
        <v>72</v>
      </c>
      <c r="C120" s="7" t="s">
        <v>13</v>
      </c>
      <c r="D120" s="8" t="s">
        <v>16</v>
      </c>
      <c r="E120" s="7" t="s">
        <v>12</v>
      </c>
      <c r="F120" s="9">
        <v>4.4999999999999998E-2</v>
      </c>
      <c r="G120" s="10">
        <v>3.7499999999999999E-2</v>
      </c>
      <c r="H120" s="11" t="s">
        <v>71</v>
      </c>
    </row>
    <row r="121" spans="1:8" ht="14.45" customHeight="1" thickBot="1" x14ac:dyDescent="0.3">
      <c r="A121" s="67" t="str">
        <f t="shared" si="0"/>
        <v>Bioretention0.3Q2ASteepLake Wohlford</v>
      </c>
      <c r="B121" s="7" t="s">
        <v>72</v>
      </c>
      <c r="C121" s="7" t="s">
        <v>13</v>
      </c>
      <c r="D121" s="7" t="s">
        <v>17</v>
      </c>
      <c r="E121" s="7" t="s">
        <v>12</v>
      </c>
      <c r="F121" s="9">
        <v>0.04</v>
      </c>
      <c r="G121" s="10">
        <v>3.3300000000000003E-2</v>
      </c>
      <c r="H121" s="11" t="s">
        <v>71</v>
      </c>
    </row>
    <row r="122" spans="1:8" ht="14.45" customHeight="1" thickBot="1" x14ac:dyDescent="0.3">
      <c r="A122" s="67" t="str">
        <f t="shared" si="0"/>
        <v>Bioretention0.3Q2BFlatLake Wohlford</v>
      </c>
      <c r="B122" s="7" t="s">
        <v>72</v>
      </c>
      <c r="C122" s="7" t="s">
        <v>18</v>
      </c>
      <c r="D122" s="7" t="s">
        <v>55</v>
      </c>
      <c r="E122" s="7" t="s">
        <v>12</v>
      </c>
      <c r="F122" s="9">
        <v>0.06</v>
      </c>
      <c r="G122" s="10">
        <v>0.05</v>
      </c>
      <c r="H122" s="11" t="s">
        <v>71</v>
      </c>
    </row>
    <row r="123" spans="1:8" ht="14.45" customHeight="1" thickBot="1" x14ac:dyDescent="0.3">
      <c r="A123" s="67" t="str">
        <f t="shared" si="0"/>
        <v>Bioretention0.3Q2BModerateLake Wohlford</v>
      </c>
      <c r="B123" s="7" t="s">
        <v>72</v>
      </c>
      <c r="C123" s="7" t="s">
        <v>18</v>
      </c>
      <c r="D123" s="8" t="s">
        <v>16</v>
      </c>
      <c r="E123" s="7" t="s">
        <v>12</v>
      </c>
      <c r="F123" s="9">
        <v>5.5E-2</v>
      </c>
      <c r="G123" s="10">
        <v>4.58E-2</v>
      </c>
      <c r="H123" s="11" t="s">
        <v>71</v>
      </c>
    </row>
    <row r="124" spans="1:8" ht="14.45" customHeight="1" thickBot="1" x14ac:dyDescent="0.3">
      <c r="A124" s="67" t="str">
        <f t="shared" ref="A124:A166" si="1">CONCATENATE(A$40,B124,C124,D124,E124)</f>
        <v>Bioretention0.3Q2BSteepLake Wohlford</v>
      </c>
      <c r="B124" s="7" t="s">
        <v>72</v>
      </c>
      <c r="C124" s="7" t="s">
        <v>18</v>
      </c>
      <c r="D124" s="7" t="s">
        <v>17</v>
      </c>
      <c r="E124" s="7" t="s">
        <v>12</v>
      </c>
      <c r="F124" s="9">
        <v>4.4999999999999998E-2</v>
      </c>
      <c r="G124" s="10">
        <v>3.7499999999999999E-2</v>
      </c>
      <c r="H124" s="11" t="s">
        <v>71</v>
      </c>
    </row>
    <row r="125" spans="1:8" ht="14.45" customHeight="1" thickBot="1" x14ac:dyDescent="0.3">
      <c r="A125" s="67" t="str">
        <f t="shared" si="1"/>
        <v>Bioretention0.3Q2CFlatLake Wohlford</v>
      </c>
      <c r="B125" s="7" t="s">
        <v>72</v>
      </c>
      <c r="C125" s="7" t="s">
        <v>19</v>
      </c>
      <c r="D125" s="7" t="s">
        <v>55</v>
      </c>
      <c r="E125" s="7" t="s">
        <v>12</v>
      </c>
      <c r="F125" s="9">
        <v>7.4999999999999997E-2</v>
      </c>
      <c r="G125" s="10">
        <v>6.25E-2</v>
      </c>
      <c r="H125" s="12">
        <v>4.4999999999999998E-2</v>
      </c>
    </row>
    <row r="126" spans="1:8" ht="14.45" customHeight="1" thickBot="1" x14ac:dyDescent="0.3">
      <c r="A126" s="67" t="str">
        <f t="shared" si="1"/>
        <v>Bioretention0.3Q2CModerateLake Wohlford</v>
      </c>
      <c r="B126" s="7" t="s">
        <v>72</v>
      </c>
      <c r="C126" s="7" t="s">
        <v>19</v>
      </c>
      <c r="D126" s="8" t="s">
        <v>16</v>
      </c>
      <c r="E126" s="7" t="s">
        <v>12</v>
      </c>
      <c r="F126" s="9">
        <v>7.4999999999999997E-2</v>
      </c>
      <c r="G126" s="10">
        <v>6.25E-2</v>
      </c>
      <c r="H126" s="12">
        <v>4.4999999999999998E-2</v>
      </c>
    </row>
    <row r="127" spans="1:8" ht="14.45" customHeight="1" thickBot="1" x14ac:dyDescent="0.3">
      <c r="A127" s="67" t="str">
        <f t="shared" si="1"/>
        <v>Bioretention0.3Q2CSteepLake Wohlford</v>
      </c>
      <c r="B127" s="7" t="s">
        <v>72</v>
      </c>
      <c r="C127" s="7" t="s">
        <v>19</v>
      </c>
      <c r="D127" s="7" t="s">
        <v>17</v>
      </c>
      <c r="E127" s="7" t="s">
        <v>12</v>
      </c>
      <c r="F127" s="9">
        <v>0.06</v>
      </c>
      <c r="G127" s="10">
        <v>0.05</v>
      </c>
      <c r="H127" s="12">
        <v>3.5999999999999997E-2</v>
      </c>
    </row>
    <row r="128" spans="1:8" ht="14.45" customHeight="1" thickBot="1" x14ac:dyDescent="0.3">
      <c r="A128" s="67" t="str">
        <f t="shared" si="1"/>
        <v>Bioretention0.3Q2DFlatLake Wohlford</v>
      </c>
      <c r="B128" s="7" t="s">
        <v>72</v>
      </c>
      <c r="C128" s="7" t="s">
        <v>20</v>
      </c>
      <c r="D128" s="7" t="s">
        <v>55</v>
      </c>
      <c r="E128" s="7" t="s">
        <v>12</v>
      </c>
      <c r="F128" s="9">
        <v>6.5000000000000002E-2</v>
      </c>
      <c r="G128" s="10">
        <v>5.4199999999999998E-2</v>
      </c>
      <c r="H128" s="12">
        <v>3.9E-2</v>
      </c>
    </row>
    <row r="129" spans="1:8" ht="14.45" customHeight="1" thickBot="1" x14ac:dyDescent="0.3">
      <c r="A129" s="67" t="str">
        <f t="shared" si="1"/>
        <v>Bioretention0.3Q2DModerateLake Wohlford</v>
      </c>
      <c r="B129" s="7" t="s">
        <v>72</v>
      </c>
      <c r="C129" s="7" t="s">
        <v>20</v>
      </c>
      <c r="D129" s="8" t="s">
        <v>16</v>
      </c>
      <c r="E129" s="7" t="s">
        <v>12</v>
      </c>
      <c r="F129" s="9">
        <v>6.5000000000000002E-2</v>
      </c>
      <c r="G129" s="10">
        <v>5.4199999999999998E-2</v>
      </c>
      <c r="H129" s="12">
        <v>3.9E-2</v>
      </c>
    </row>
    <row r="130" spans="1:8" ht="14.45" customHeight="1" thickBot="1" x14ac:dyDescent="0.3">
      <c r="A130" s="67" t="str">
        <f t="shared" si="1"/>
        <v>Bioretention0.3Q2DSteepLake Wohlford</v>
      </c>
      <c r="B130" s="7" t="s">
        <v>72</v>
      </c>
      <c r="C130" s="7" t="s">
        <v>20</v>
      </c>
      <c r="D130" s="7" t="s">
        <v>17</v>
      </c>
      <c r="E130" s="7" t="s">
        <v>12</v>
      </c>
      <c r="F130" s="9">
        <v>0.05</v>
      </c>
      <c r="G130" s="10">
        <v>4.1700000000000001E-2</v>
      </c>
      <c r="H130" s="12">
        <v>0.03</v>
      </c>
    </row>
    <row r="131" spans="1:8" ht="14.45" customHeight="1" thickBot="1" x14ac:dyDescent="0.3">
      <c r="A131" s="67" t="str">
        <f t="shared" si="1"/>
        <v>Bioretention0.1Q2AFlatLindbergh</v>
      </c>
      <c r="B131" s="7" t="s">
        <v>73</v>
      </c>
      <c r="C131" s="7" t="s">
        <v>13</v>
      </c>
      <c r="D131" s="7" t="s">
        <v>55</v>
      </c>
      <c r="E131" s="8" t="s">
        <v>24</v>
      </c>
      <c r="F131" s="9">
        <v>0.06</v>
      </c>
      <c r="G131" s="10">
        <v>0.05</v>
      </c>
      <c r="H131" s="11" t="s">
        <v>71</v>
      </c>
    </row>
    <row r="132" spans="1:8" ht="14.45" customHeight="1" thickBot="1" x14ac:dyDescent="0.3">
      <c r="A132" s="67" t="str">
        <f t="shared" si="1"/>
        <v>Bioretention0.1Q2AModerateLindbergh</v>
      </c>
      <c r="B132" s="7" t="s">
        <v>73</v>
      </c>
      <c r="C132" s="7" t="s">
        <v>13</v>
      </c>
      <c r="D132" s="8" t="s">
        <v>16</v>
      </c>
      <c r="E132" s="8" t="s">
        <v>24</v>
      </c>
      <c r="F132" s="9">
        <v>5.5E-2</v>
      </c>
      <c r="G132" s="10">
        <v>4.58E-2</v>
      </c>
      <c r="H132" s="11" t="s">
        <v>71</v>
      </c>
    </row>
    <row r="133" spans="1:8" ht="14.45" customHeight="1" thickBot="1" x14ac:dyDescent="0.3">
      <c r="A133" s="67" t="str">
        <f t="shared" si="1"/>
        <v>Bioretention0.1Q2ASteepLindbergh</v>
      </c>
      <c r="B133" s="7" t="s">
        <v>73</v>
      </c>
      <c r="C133" s="7" t="s">
        <v>13</v>
      </c>
      <c r="D133" s="7" t="s">
        <v>17</v>
      </c>
      <c r="E133" s="8" t="s">
        <v>24</v>
      </c>
      <c r="F133" s="9">
        <v>4.4999999999999998E-2</v>
      </c>
      <c r="G133" s="10">
        <v>3.7499999999999999E-2</v>
      </c>
      <c r="H133" s="11" t="s">
        <v>71</v>
      </c>
    </row>
    <row r="134" spans="1:8" ht="14.45" customHeight="1" thickBot="1" x14ac:dyDescent="0.3">
      <c r="A134" s="67" t="str">
        <f t="shared" si="1"/>
        <v>Bioretention0.1Q2BFlatLindbergh</v>
      </c>
      <c r="B134" s="7" t="s">
        <v>73</v>
      </c>
      <c r="C134" s="7" t="s">
        <v>18</v>
      </c>
      <c r="D134" s="7" t="s">
        <v>55</v>
      </c>
      <c r="E134" s="8" t="s">
        <v>24</v>
      </c>
      <c r="F134" s="9">
        <v>0.1</v>
      </c>
      <c r="G134" s="10">
        <v>8.3299999999999999E-2</v>
      </c>
      <c r="H134" s="11" t="s">
        <v>71</v>
      </c>
    </row>
    <row r="135" spans="1:8" ht="14.45" customHeight="1" thickBot="1" x14ac:dyDescent="0.3">
      <c r="A135" s="67" t="str">
        <f t="shared" si="1"/>
        <v>Bioretention0.1Q2BModerateLindbergh</v>
      </c>
      <c r="B135" s="7" t="s">
        <v>73</v>
      </c>
      <c r="C135" s="7" t="s">
        <v>18</v>
      </c>
      <c r="D135" s="8" t="s">
        <v>16</v>
      </c>
      <c r="E135" s="8" t="s">
        <v>24</v>
      </c>
      <c r="F135" s="9">
        <v>9.5000000000000001E-2</v>
      </c>
      <c r="G135" s="10">
        <v>7.9200000000000007E-2</v>
      </c>
      <c r="H135" s="11" t="s">
        <v>71</v>
      </c>
    </row>
    <row r="136" spans="1:8" ht="14.45" customHeight="1" thickBot="1" x14ac:dyDescent="0.3">
      <c r="A136" s="67" t="str">
        <f t="shared" si="1"/>
        <v>Bioretention0.1Q2BSteepLindbergh</v>
      </c>
      <c r="B136" s="7" t="s">
        <v>73</v>
      </c>
      <c r="C136" s="7" t="s">
        <v>18</v>
      </c>
      <c r="D136" s="7" t="s">
        <v>17</v>
      </c>
      <c r="E136" s="8" t="s">
        <v>24</v>
      </c>
      <c r="F136" s="9">
        <v>0.08</v>
      </c>
      <c r="G136" s="10">
        <v>6.6699999999999995E-2</v>
      </c>
      <c r="H136" s="11" t="s">
        <v>71</v>
      </c>
    </row>
    <row r="137" spans="1:8" ht="14.45" customHeight="1" thickBot="1" x14ac:dyDescent="0.3">
      <c r="A137" s="67" t="str">
        <f t="shared" si="1"/>
        <v>Bioretention0.1Q2CFlatLindbergh</v>
      </c>
      <c r="B137" s="7" t="s">
        <v>73</v>
      </c>
      <c r="C137" s="7" t="s">
        <v>19</v>
      </c>
      <c r="D137" s="7" t="s">
        <v>55</v>
      </c>
      <c r="E137" s="8" t="s">
        <v>24</v>
      </c>
      <c r="F137" s="9">
        <v>0.14499999999999999</v>
      </c>
      <c r="G137" s="10">
        <v>0.1208</v>
      </c>
      <c r="H137" s="12">
        <v>8.6999999999999994E-2</v>
      </c>
    </row>
    <row r="138" spans="1:8" ht="14.45" customHeight="1" thickBot="1" x14ac:dyDescent="0.3">
      <c r="A138" s="67" t="str">
        <f t="shared" si="1"/>
        <v>Bioretention0.1Q2CModerateLindbergh</v>
      </c>
      <c r="B138" s="7" t="s">
        <v>73</v>
      </c>
      <c r="C138" s="7" t="s">
        <v>19</v>
      </c>
      <c r="D138" s="8" t="s">
        <v>16</v>
      </c>
      <c r="E138" s="8" t="s">
        <v>24</v>
      </c>
      <c r="F138" s="9">
        <v>0.14499999999999999</v>
      </c>
      <c r="G138" s="10">
        <v>0.1208</v>
      </c>
      <c r="H138" s="12">
        <v>8.6999999999999994E-2</v>
      </c>
    </row>
    <row r="139" spans="1:8" ht="14.45" customHeight="1" thickBot="1" x14ac:dyDescent="0.3">
      <c r="A139" s="67" t="str">
        <f t="shared" si="1"/>
        <v>Bioretention0.1Q2CSteepLindbergh</v>
      </c>
      <c r="B139" s="7" t="s">
        <v>73</v>
      </c>
      <c r="C139" s="7" t="s">
        <v>19</v>
      </c>
      <c r="D139" s="7" t="s">
        <v>17</v>
      </c>
      <c r="E139" s="8" t="s">
        <v>24</v>
      </c>
      <c r="F139" s="9">
        <v>0.12</v>
      </c>
      <c r="G139" s="10">
        <v>0.1</v>
      </c>
      <c r="H139" s="12">
        <v>7.1999999999999995E-2</v>
      </c>
    </row>
    <row r="140" spans="1:8" ht="14.45" customHeight="1" thickBot="1" x14ac:dyDescent="0.3">
      <c r="A140" s="67" t="str">
        <f t="shared" si="1"/>
        <v>Bioretention0.1Q2DFlatLindbergh</v>
      </c>
      <c r="B140" s="7" t="s">
        <v>73</v>
      </c>
      <c r="C140" s="7" t="s">
        <v>20</v>
      </c>
      <c r="D140" s="7" t="s">
        <v>55</v>
      </c>
      <c r="E140" s="8" t="s">
        <v>24</v>
      </c>
      <c r="F140" s="9">
        <v>0.16</v>
      </c>
      <c r="G140" s="10">
        <v>0.1333</v>
      </c>
      <c r="H140" s="12">
        <v>9.6000000000000002E-2</v>
      </c>
    </row>
    <row r="141" spans="1:8" ht="14.45" customHeight="1" thickBot="1" x14ac:dyDescent="0.3">
      <c r="A141" s="67" t="str">
        <f t="shared" si="1"/>
        <v>Bioretention0.1Q2DModerateLindbergh</v>
      </c>
      <c r="B141" s="7" t="s">
        <v>73</v>
      </c>
      <c r="C141" s="7" t="s">
        <v>20</v>
      </c>
      <c r="D141" s="8" t="s">
        <v>16</v>
      </c>
      <c r="E141" s="8" t="s">
        <v>24</v>
      </c>
      <c r="F141" s="9">
        <v>0.16</v>
      </c>
      <c r="G141" s="10">
        <v>0.1333</v>
      </c>
      <c r="H141" s="12">
        <v>9.6000000000000002E-2</v>
      </c>
    </row>
    <row r="142" spans="1:8" ht="14.45" customHeight="1" thickBot="1" x14ac:dyDescent="0.3">
      <c r="A142" s="67" t="str">
        <f t="shared" si="1"/>
        <v>Bioretention0.1Q2DSteepLindbergh</v>
      </c>
      <c r="B142" s="7" t="s">
        <v>73</v>
      </c>
      <c r="C142" s="7" t="s">
        <v>20</v>
      </c>
      <c r="D142" s="7" t="s">
        <v>17</v>
      </c>
      <c r="E142" s="8" t="s">
        <v>24</v>
      </c>
      <c r="F142" s="9">
        <v>0.115</v>
      </c>
      <c r="G142" s="10">
        <v>9.5799999999999996E-2</v>
      </c>
      <c r="H142" s="12">
        <v>6.9000000000000006E-2</v>
      </c>
    </row>
    <row r="143" spans="1:8" ht="14.45" customHeight="1" thickBot="1" x14ac:dyDescent="0.3">
      <c r="A143" s="67" t="str">
        <f t="shared" si="1"/>
        <v>Bioretention0.1Q2AFlatOceanside</v>
      </c>
      <c r="B143" s="7" t="s">
        <v>73</v>
      </c>
      <c r="C143" s="7" t="s">
        <v>13</v>
      </c>
      <c r="D143" s="7" t="s">
        <v>55</v>
      </c>
      <c r="E143" s="8" t="s">
        <v>23</v>
      </c>
      <c r="F143" s="9">
        <v>7.0000000000000007E-2</v>
      </c>
      <c r="G143" s="10">
        <v>5.8299999999999998E-2</v>
      </c>
      <c r="H143" s="11" t="s">
        <v>71</v>
      </c>
    </row>
    <row r="144" spans="1:8" ht="14.45" customHeight="1" thickBot="1" x14ac:dyDescent="0.3">
      <c r="A144" s="67" t="str">
        <f t="shared" si="1"/>
        <v>Bioretention0.1Q2AModerateOceanside</v>
      </c>
      <c r="B144" s="7" t="s">
        <v>73</v>
      </c>
      <c r="C144" s="7" t="s">
        <v>13</v>
      </c>
      <c r="D144" s="8" t="s">
        <v>16</v>
      </c>
      <c r="E144" s="8" t="s">
        <v>23</v>
      </c>
      <c r="F144" s="9">
        <v>6.5000000000000002E-2</v>
      </c>
      <c r="G144" s="10">
        <v>5.4199999999999998E-2</v>
      </c>
      <c r="H144" s="11" t="s">
        <v>71</v>
      </c>
    </row>
    <row r="145" spans="1:8" ht="14.45" customHeight="1" thickBot="1" x14ac:dyDescent="0.3">
      <c r="A145" s="67" t="str">
        <f t="shared" si="1"/>
        <v>Bioretention0.1Q2ASteepOceanside</v>
      </c>
      <c r="B145" s="7" t="s">
        <v>73</v>
      </c>
      <c r="C145" s="7" t="s">
        <v>13</v>
      </c>
      <c r="D145" s="7" t="s">
        <v>17</v>
      </c>
      <c r="E145" s="8" t="s">
        <v>23</v>
      </c>
      <c r="F145" s="9">
        <v>0.06</v>
      </c>
      <c r="G145" s="10">
        <v>0.05</v>
      </c>
      <c r="H145" s="11" t="s">
        <v>71</v>
      </c>
    </row>
    <row r="146" spans="1:8" ht="14.45" customHeight="1" thickBot="1" x14ac:dyDescent="0.3">
      <c r="A146" s="67" t="str">
        <f t="shared" si="1"/>
        <v>Bioretention0.1Q2BFlatOceanside</v>
      </c>
      <c r="B146" s="7" t="s">
        <v>73</v>
      </c>
      <c r="C146" s="7" t="s">
        <v>18</v>
      </c>
      <c r="D146" s="7" t="s">
        <v>55</v>
      </c>
      <c r="E146" s="8" t="s">
        <v>23</v>
      </c>
      <c r="F146" s="9">
        <v>0.10299999999999999</v>
      </c>
      <c r="G146" s="10">
        <v>8.5400000000000004E-2</v>
      </c>
      <c r="H146" s="11" t="s">
        <v>71</v>
      </c>
    </row>
    <row r="147" spans="1:8" ht="14.45" customHeight="1" thickBot="1" x14ac:dyDescent="0.3">
      <c r="A147" s="67" t="str">
        <f t="shared" si="1"/>
        <v>Bioretention0.1Q2BModerateOceanside</v>
      </c>
      <c r="B147" s="7" t="s">
        <v>73</v>
      </c>
      <c r="C147" s="7" t="s">
        <v>18</v>
      </c>
      <c r="D147" s="8" t="s">
        <v>16</v>
      </c>
      <c r="E147" s="8" t="s">
        <v>23</v>
      </c>
      <c r="F147" s="9">
        <v>0.09</v>
      </c>
      <c r="G147" s="10">
        <v>7.4999999999999997E-2</v>
      </c>
      <c r="H147" s="11" t="s">
        <v>71</v>
      </c>
    </row>
    <row r="148" spans="1:8" ht="14.45" customHeight="1" thickBot="1" x14ac:dyDescent="0.3">
      <c r="A148" s="67" t="str">
        <f t="shared" si="1"/>
        <v>Bioretention0.1Q2BSteepOceanside</v>
      </c>
      <c r="B148" s="7" t="s">
        <v>73</v>
      </c>
      <c r="C148" s="7" t="s">
        <v>18</v>
      </c>
      <c r="D148" s="7" t="s">
        <v>17</v>
      </c>
      <c r="E148" s="8" t="s">
        <v>23</v>
      </c>
      <c r="F148" s="9">
        <v>7.4999999999999997E-2</v>
      </c>
      <c r="G148" s="10">
        <v>6.25E-2</v>
      </c>
      <c r="H148" s="11" t="s">
        <v>71</v>
      </c>
    </row>
    <row r="149" spans="1:8" ht="14.45" customHeight="1" thickBot="1" x14ac:dyDescent="0.3">
      <c r="A149" s="67" t="str">
        <f t="shared" si="1"/>
        <v>Bioretention0.1Q2CFlatOceanside</v>
      </c>
      <c r="B149" s="7" t="s">
        <v>73</v>
      </c>
      <c r="C149" s="7" t="s">
        <v>19</v>
      </c>
      <c r="D149" s="7" t="s">
        <v>55</v>
      </c>
      <c r="E149" s="8" t="s">
        <v>23</v>
      </c>
      <c r="F149" s="9">
        <v>0.13</v>
      </c>
      <c r="G149" s="10">
        <v>0.10829999999999999</v>
      </c>
      <c r="H149" s="12">
        <v>7.8E-2</v>
      </c>
    </row>
    <row r="150" spans="1:8" ht="14.45" customHeight="1" thickBot="1" x14ac:dyDescent="0.3">
      <c r="A150" s="67" t="str">
        <f t="shared" si="1"/>
        <v>Bioretention0.1Q2CModerateOceanside</v>
      </c>
      <c r="B150" s="7" t="s">
        <v>73</v>
      </c>
      <c r="C150" s="7" t="s">
        <v>19</v>
      </c>
      <c r="D150" s="8" t="s">
        <v>16</v>
      </c>
      <c r="E150" s="8" t="s">
        <v>23</v>
      </c>
      <c r="F150" s="9">
        <v>0.13</v>
      </c>
      <c r="G150" s="10">
        <v>0.10829999999999999</v>
      </c>
      <c r="H150" s="12">
        <v>7.8E-2</v>
      </c>
    </row>
    <row r="151" spans="1:8" ht="14.45" customHeight="1" thickBot="1" x14ac:dyDescent="0.3">
      <c r="A151" s="67" t="str">
        <f t="shared" si="1"/>
        <v>Bioretention0.1Q2CSteepOceanside</v>
      </c>
      <c r="B151" s="7" t="s">
        <v>73</v>
      </c>
      <c r="C151" s="7" t="s">
        <v>19</v>
      </c>
      <c r="D151" s="7" t="s">
        <v>17</v>
      </c>
      <c r="E151" s="8" t="s">
        <v>23</v>
      </c>
      <c r="F151" s="9">
        <v>0.11</v>
      </c>
      <c r="G151" s="10">
        <v>9.1700000000000004E-2</v>
      </c>
      <c r="H151" s="12">
        <v>6.6000000000000003E-2</v>
      </c>
    </row>
    <row r="152" spans="1:8" ht="14.45" customHeight="1" thickBot="1" x14ac:dyDescent="0.3">
      <c r="A152" s="67" t="str">
        <f t="shared" si="1"/>
        <v>Bioretention0.1Q2DFlatOceanside</v>
      </c>
      <c r="B152" s="7" t="s">
        <v>73</v>
      </c>
      <c r="C152" s="7" t="s">
        <v>20</v>
      </c>
      <c r="D152" s="7" t="s">
        <v>55</v>
      </c>
      <c r="E152" s="8" t="s">
        <v>23</v>
      </c>
      <c r="F152" s="9">
        <v>0.13</v>
      </c>
      <c r="G152" s="10">
        <v>0.10829999999999999</v>
      </c>
      <c r="H152" s="12">
        <v>7.8E-2</v>
      </c>
    </row>
    <row r="153" spans="1:8" ht="14.45" customHeight="1" thickBot="1" x14ac:dyDescent="0.3">
      <c r="A153" s="67" t="str">
        <f t="shared" si="1"/>
        <v>Bioretention0.1Q2DModerateOceanside</v>
      </c>
      <c r="B153" s="7" t="s">
        <v>73</v>
      </c>
      <c r="C153" s="7" t="s">
        <v>20</v>
      </c>
      <c r="D153" s="8" t="s">
        <v>16</v>
      </c>
      <c r="E153" s="8" t="s">
        <v>23</v>
      </c>
      <c r="F153" s="9">
        <v>0.13</v>
      </c>
      <c r="G153" s="10">
        <v>0.10829999999999999</v>
      </c>
      <c r="H153" s="12">
        <v>7.8E-2</v>
      </c>
    </row>
    <row r="154" spans="1:8" ht="14.45" customHeight="1" thickBot="1" x14ac:dyDescent="0.3">
      <c r="A154" s="67" t="str">
        <f t="shared" si="1"/>
        <v>Bioretention0.1Q2DSteepOceanside</v>
      </c>
      <c r="B154" s="7" t="s">
        <v>73</v>
      </c>
      <c r="C154" s="7" t="s">
        <v>20</v>
      </c>
      <c r="D154" s="7" t="s">
        <v>17</v>
      </c>
      <c r="E154" s="8" t="s">
        <v>23</v>
      </c>
      <c r="F154" s="9">
        <v>6.5000000000000002E-2</v>
      </c>
      <c r="G154" s="10">
        <v>5.4199999999999998E-2</v>
      </c>
      <c r="H154" s="12">
        <v>3.9E-2</v>
      </c>
    </row>
    <row r="155" spans="1:8" ht="14.45" customHeight="1" thickBot="1" x14ac:dyDescent="0.3">
      <c r="A155" s="67" t="str">
        <f t="shared" si="1"/>
        <v>Bioretention0.1Q2AFlatLake Wohlford</v>
      </c>
      <c r="B155" s="7" t="s">
        <v>73</v>
      </c>
      <c r="C155" s="7" t="s">
        <v>13</v>
      </c>
      <c r="D155" s="7" t="s">
        <v>55</v>
      </c>
      <c r="E155" s="7" t="s">
        <v>12</v>
      </c>
      <c r="F155" s="9">
        <v>0.05</v>
      </c>
      <c r="G155" s="10">
        <v>4.1700000000000001E-2</v>
      </c>
      <c r="H155" s="11" t="s">
        <v>71</v>
      </c>
    </row>
    <row r="156" spans="1:8" ht="14.45" customHeight="1" thickBot="1" x14ac:dyDescent="0.3">
      <c r="A156" s="67" t="str">
        <f t="shared" si="1"/>
        <v>Bioretention0.1Q2AModerateLake Wohlford</v>
      </c>
      <c r="B156" s="7" t="s">
        <v>73</v>
      </c>
      <c r="C156" s="7" t="s">
        <v>13</v>
      </c>
      <c r="D156" s="8" t="s">
        <v>16</v>
      </c>
      <c r="E156" s="7" t="s">
        <v>12</v>
      </c>
      <c r="F156" s="9">
        <v>4.4999999999999998E-2</v>
      </c>
      <c r="G156" s="10">
        <v>3.7499999999999999E-2</v>
      </c>
      <c r="H156" s="11" t="s">
        <v>71</v>
      </c>
    </row>
    <row r="157" spans="1:8" ht="14.45" customHeight="1" thickBot="1" x14ac:dyDescent="0.3">
      <c r="A157" s="67" t="str">
        <f t="shared" si="1"/>
        <v>Bioretention0.1Q2ASteepLake Wohlford</v>
      </c>
      <c r="B157" s="7" t="s">
        <v>73</v>
      </c>
      <c r="C157" s="7" t="s">
        <v>13</v>
      </c>
      <c r="D157" s="7" t="s">
        <v>17</v>
      </c>
      <c r="E157" s="7" t="s">
        <v>12</v>
      </c>
      <c r="F157" s="9">
        <v>0.04</v>
      </c>
      <c r="G157" s="10">
        <v>3.3300000000000003E-2</v>
      </c>
      <c r="H157" s="11" t="s">
        <v>71</v>
      </c>
    </row>
    <row r="158" spans="1:8" ht="14.45" customHeight="1" thickBot="1" x14ac:dyDescent="0.3">
      <c r="A158" s="67" t="str">
        <f t="shared" si="1"/>
        <v>Bioretention0.1Q2BFlatLake Wohlford</v>
      </c>
      <c r="B158" s="7" t="s">
        <v>73</v>
      </c>
      <c r="C158" s="7" t="s">
        <v>18</v>
      </c>
      <c r="D158" s="7" t="s">
        <v>55</v>
      </c>
      <c r="E158" s="7" t="s">
        <v>12</v>
      </c>
      <c r="F158" s="9">
        <v>0.09</v>
      </c>
      <c r="G158" s="10">
        <v>7.4999999999999997E-2</v>
      </c>
      <c r="H158" s="11" t="s">
        <v>71</v>
      </c>
    </row>
    <row r="159" spans="1:8" ht="14.45" customHeight="1" thickBot="1" x14ac:dyDescent="0.3">
      <c r="A159" s="67" t="str">
        <f t="shared" si="1"/>
        <v>Bioretention0.1Q2BModerateLake Wohlford</v>
      </c>
      <c r="B159" s="7" t="s">
        <v>73</v>
      </c>
      <c r="C159" s="7" t="s">
        <v>18</v>
      </c>
      <c r="D159" s="8" t="s">
        <v>16</v>
      </c>
      <c r="E159" s="7" t="s">
        <v>12</v>
      </c>
      <c r="F159" s="9">
        <v>8.5000000000000006E-2</v>
      </c>
      <c r="G159" s="10">
        <v>7.0800000000000002E-2</v>
      </c>
      <c r="H159" s="11" t="s">
        <v>71</v>
      </c>
    </row>
    <row r="160" spans="1:8" ht="14.45" customHeight="1" thickBot="1" x14ac:dyDescent="0.3">
      <c r="A160" s="67" t="str">
        <f t="shared" si="1"/>
        <v>Bioretention0.1Q2BSteepLake Wohlford</v>
      </c>
      <c r="B160" s="7" t="s">
        <v>73</v>
      </c>
      <c r="C160" s="7" t="s">
        <v>18</v>
      </c>
      <c r="D160" s="7" t="s">
        <v>17</v>
      </c>
      <c r="E160" s="7" t="s">
        <v>12</v>
      </c>
      <c r="F160" s="9">
        <v>6.5000000000000002E-2</v>
      </c>
      <c r="G160" s="10">
        <v>5.4199999999999998E-2</v>
      </c>
      <c r="H160" s="11" t="s">
        <v>71</v>
      </c>
    </row>
    <row r="161" spans="1:8" ht="14.45" customHeight="1" thickBot="1" x14ac:dyDescent="0.3">
      <c r="A161" s="67" t="str">
        <f t="shared" si="1"/>
        <v>Bioretention0.1Q2CFlatLake Wohlford</v>
      </c>
      <c r="B161" s="7" t="s">
        <v>73</v>
      </c>
      <c r="C161" s="7" t="s">
        <v>19</v>
      </c>
      <c r="D161" s="7" t="s">
        <v>55</v>
      </c>
      <c r="E161" s="7" t="s">
        <v>12</v>
      </c>
      <c r="F161" s="9">
        <v>0.11</v>
      </c>
      <c r="G161" s="10">
        <v>9.1700000000000004E-2</v>
      </c>
      <c r="H161" s="12">
        <v>6.6000000000000003E-2</v>
      </c>
    </row>
    <row r="162" spans="1:8" ht="14.45" customHeight="1" thickBot="1" x14ac:dyDescent="0.3">
      <c r="A162" s="67" t="str">
        <f t="shared" si="1"/>
        <v>Bioretention0.1Q2CModerateLake Wohlford</v>
      </c>
      <c r="B162" s="7" t="s">
        <v>73</v>
      </c>
      <c r="C162" s="7" t="s">
        <v>19</v>
      </c>
      <c r="D162" s="8" t="s">
        <v>16</v>
      </c>
      <c r="E162" s="7" t="s">
        <v>12</v>
      </c>
      <c r="F162" s="9">
        <v>0.11</v>
      </c>
      <c r="G162" s="10">
        <v>9.1700000000000004E-2</v>
      </c>
      <c r="H162" s="12">
        <v>6.6000000000000003E-2</v>
      </c>
    </row>
    <row r="163" spans="1:8" ht="14.45" customHeight="1" thickBot="1" x14ac:dyDescent="0.3">
      <c r="A163" s="67" t="str">
        <f t="shared" si="1"/>
        <v>Bioretention0.1Q2CSteepLake Wohlford</v>
      </c>
      <c r="B163" s="7" t="s">
        <v>73</v>
      </c>
      <c r="C163" s="7" t="s">
        <v>19</v>
      </c>
      <c r="D163" s="7" t="s">
        <v>17</v>
      </c>
      <c r="E163" s="7" t="s">
        <v>12</v>
      </c>
      <c r="F163" s="9">
        <v>0.09</v>
      </c>
      <c r="G163" s="10">
        <v>7.4999999999999997E-2</v>
      </c>
      <c r="H163" s="12">
        <v>5.3999999999999999E-2</v>
      </c>
    </row>
    <row r="164" spans="1:8" ht="14.45" customHeight="1" thickBot="1" x14ac:dyDescent="0.3">
      <c r="A164" s="67" t="str">
        <f t="shared" si="1"/>
        <v>Bioretention0.1Q2DFlatLake Wohlford</v>
      </c>
      <c r="B164" s="7" t="s">
        <v>73</v>
      </c>
      <c r="C164" s="7" t="s">
        <v>20</v>
      </c>
      <c r="D164" s="7" t="s">
        <v>55</v>
      </c>
      <c r="E164" s="7" t="s">
        <v>12</v>
      </c>
      <c r="F164" s="9">
        <v>0.1</v>
      </c>
      <c r="G164" s="10">
        <v>8.3299999999999999E-2</v>
      </c>
      <c r="H164" s="12">
        <v>0.06</v>
      </c>
    </row>
    <row r="165" spans="1:8" ht="14.45" customHeight="1" thickBot="1" x14ac:dyDescent="0.3">
      <c r="A165" s="67" t="str">
        <f t="shared" si="1"/>
        <v>Bioretention0.1Q2DModerateLake Wohlford</v>
      </c>
      <c r="B165" s="7" t="s">
        <v>73</v>
      </c>
      <c r="C165" s="7" t="s">
        <v>20</v>
      </c>
      <c r="D165" s="8" t="s">
        <v>16</v>
      </c>
      <c r="E165" s="7" t="s">
        <v>12</v>
      </c>
      <c r="F165" s="9">
        <v>0.1</v>
      </c>
      <c r="G165" s="10">
        <v>8.3299999999999999E-2</v>
      </c>
      <c r="H165" s="12">
        <v>0.06</v>
      </c>
    </row>
    <row r="166" spans="1:8" ht="14.45" customHeight="1" thickBot="1" x14ac:dyDescent="0.3">
      <c r="A166" s="67" t="str">
        <f t="shared" si="1"/>
        <v>Bioretention0.1Q2DSteepLake Wohlford</v>
      </c>
      <c r="B166" s="7" t="s">
        <v>73</v>
      </c>
      <c r="C166" s="7" t="s">
        <v>20</v>
      </c>
      <c r="D166" s="7" t="s">
        <v>17</v>
      </c>
      <c r="E166" s="7" t="s">
        <v>12</v>
      </c>
      <c r="F166" s="9">
        <v>7.4999999999999997E-2</v>
      </c>
      <c r="G166" s="10">
        <v>6.25E-2</v>
      </c>
      <c r="H166" s="12">
        <v>4.4999999999999998E-2</v>
      </c>
    </row>
    <row r="167" spans="1:8" ht="14.45" customHeight="1" thickBot="1" x14ac:dyDescent="0.3">
      <c r="B167" s="14"/>
    </row>
    <row r="168" spans="1:8" ht="14.45" customHeight="1" thickBot="1" x14ac:dyDescent="0.3">
      <c r="B168" s="220" t="s">
        <v>74</v>
      </c>
      <c r="C168" s="220"/>
      <c r="D168" s="220"/>
      <c r="E168" s="220"/>
      <c r="F168" s="220"/>
      <c r="G168" s="220"/>
      <c r="H168" s="220"/>
    </row>
    <row r="169" spans="1:8" ht="14.45" customHeight="1" thickBot="1" x14ac:dyDescent="0.3">
      <c r="B169" s="3" t="s">
        <v>81</v>
      </c>
      <c r="C169" s="3" t="s">
        <v>67</v>
      </c>
      <c r="D169" s="4" t="s">
        <v>7</v>
      </c>
      <c r="E169" s="5" t="s">
        <v>4</v>
      </c>
      <c r="F169" s="4" t="s">
        <v>13</v>
      </c>
      <c r="G169" s="4" t="s">
        <v>68</v>
      </c>
      <c r="H169" s="6" t="s">
        <v>69</v>
      </c>
    </row>
    <row r="170" spans="1:8" ht="14.45" customHeight="1" thickBot="1" x14ac:dyDescent="0.3">
      <c r="A170" s="67" t="str">
        <f>CONCATENATE(A$41,B170,C170,D170,E170)</f>
        <v>Bioretention Plus Cistern0.5Q2AFlatLindbergh</v>
      </c>
      <c r="B170" s="7" t="s">
        <v>70</v>
      </c>
      <c r="C170" s="7" t="s">
        <v>13</v>
      </c>
      <c r="D170" s="7" t="s">
        <v>55</v>
      </c>
      <c r="E170" s="8" t="s">
        <v>24</v>
      </c>
      <c r="F170" s="9">
        <v>0.02</v>
      </c>
      <c r="G170" s="10">
        <v>0.12</v>
      </c>
      <c r="H170" s="11" t="s">
        <v>71</v>
      </c>
    </row>
    <row r="171" spans="1:8" ht="14.45" customHeight="1" thickBot="1" x14ac:dyDescent="0.3">
      <c r="A171" s="67" t="str">
        <f t="shared" ref="A171:A234" si="2">CONCATENATE(A$41,B171,C171,D171,E171)</f>
        <v>Bioretention Plus Cistern0.5Q2AModerateLindbergh</v>
      </c>
      <c r="B171" s="7" t="s">
        <v>70</v>
      </c>
      <c r="C171" s="7" t="s">
        <v>13</v>
      </c>
      <c r="D171" s="8" t="s">
        <v>16</v>
      </c>
      <c r="E171" s="8" t="s">
        <v>24</v>
      </c>
      <c r="F171" s="9">
        <v>0.02</v>
      </c>
      <c r="G171" s="10">
        <v>0.1</v>
      </c>
      <c r="H171" s="11" t="s">
        <v>71</v>
      </c>
    </row>
    <row r="172" spans="1:8" ht="14.45" customHeight="1" thickBot="1" x14ac:dyDescent="0.3">
      <c r="A172" s="67" t="str">
        <f t="shared" si="2"/>
        <v>Bioretention Plus Cistern0.5Q2ASteepLindbergh</v>
      </c>
      <c r="B172" s="7" t="s">
        <v>70</v>
      </c>
      <c r="C172" s="7" t="s">
        <v>13</v>
      </c>
      <c r="D172" s="7" t="s">
        <v>17</v>
      </c>
      <c r="E172" s="8" t="s">
        <v>24</v>
      </c>
      <c r="F172" s="9">
        <v>0.02</v>
      </c>
      <c r="G172" s="10">
        <v>0.1</v>
      </c>
      <c r="H172" s="11" t="s">
        <v>71</v>
      </c>
    </row>
    <row r="173" spans="1:8" ht="14.45" customHeight="1" thickBot="1" x14ac:dyDescent="0.3">
      <c r="A173" s="67" t="str">
        <f t="shared" si="2"/>
        <v>Bioretention Plus Cistern0.5Q2BFlatLindbergh</v>
      </c>
      <c r="B173" s="7" t="s">
        <v>70</v>
      </c>
      <c r="C173" s="7" t="s">
        <v>18</v>
      </c>
      <c r="D173" s="7" t="s">
        <v>55</v>
      </c>
      <c r="E173" s="8" t="s">
        <v>24</v>
      </c>
      <c r="F173" s="9">
        <v>0.02</v>
      </c>
      <c r="G173" s="10">
        <v>0.39</v>
      </c>
      <c r="H173" s="11" t="s">
        <v>71</v>
      </c>
    </row>
    <row r="174" spans="1:8" ht="14.45" customHeight="1" thickBot="1" x14ac:dyDescent="0.3">
      <c r="A174" s="67" t="str">
        <f t="shared" si="2"/>
        <v>Bioretention Plus Cistern0.5Q2BModerateLindbergh</v>
      </c>
      <c r="B174" s="7" t="s">
        <v>70</v>
      </c>
      <c r="C174" s="7" t="s">
        <v>18</v>
      </c>
      <c r="D174" s="8" t="s">
        <v>16</v>
      </c>
      <c r="E174" s="8" t="s">
        <v>24</v>
      </c>
      <c r="F174" s="9">
        <v>0.02</v>
      </c>
      <c r="G174" s="10">
        <v>0.2</v>
      </c>
      <c r="H174" s="11" t="s">
        <v>71</v>
      </c>
    </row>
    <row r="175" spans="1:8" ht="14.45" customHeight="1" thickBot="1" x14ac:dyDescent="0.3">
      <c r="A175" s="67" t="str">
        <f t="shared" si="2"/>
        <v>Bioretention Plus Cistern0.5Q2BSteepLindbergh</v>
      </c>
      <c r="B175" s="7" t="s">
        <v>70</v>
      </c>
      <c r="C175" s="7" t="s">
        <v>18</v>
      </c>
      <c r="D175" s="7" t="s">
        <v>17</v>
      </c>
      <c r="E175" s="8" t="s">
        <v>24</v>
      </c>
      <c r="F175" s="9">
        <v>0.02</v>
      </c>
      <c r="G175" s="10">
        <v>0.12</v>
      </c>
      <c r="H175" s="11" t="s">
        <v>71</v>
      </c>
    </row>
    <row r="176" spans="1:8" ht="14.45" customHeight="1" thickBot="1" x14ac:dyDescent="0.3">
      <c r="A176" s="67" t="str">
        <f t="shared" si="2"/>
        <v>Bioretention Plus Cistern0.5Q2CFlatLindbergh</v>
      </c>
      <c r="B176" s="7" t="s">
        <v>70</v>
      </c>
      <c r="C176" s="7" t="s">
        <v>19</v>
      </c>
      <c r="D176" s="7" t="s">
        <v>55</v>
      </c>
      <c r="E176" s="8" t="s">
        <v>24</v>
      </c>
      <c r="F176" s="9">
        <v>0.02</v>
      </c>
      <c r="G176" s="10">
        <v>0.12</v>
      </c>
      <c r="H176" s="11" t="s">
        <v>71</v>
      </c>
    </row>
    <row r="177" spans="1:8" ht="14.45" customHeight="1" thickBot="1" x14ac:dyDescent="0.3">
      <c r="A177" s="67" t="str">
        <f t="shared" si="2"/>
        <v>Bioretention Plus Cistern0.5Q2CModerateLindbergh</v>
      </c>
      <c r="B177" s="7" t="s">
        <v>70</v>
      </c>
      <c r="C177" s="7" t="s">
        <v>19</v>
      </c>
      <c r="D177" s="8" t="s">
        <v>16</v>
      </c>
      <c r="E177" s="8" t="s">
        <v>24</v>
      </c>
      <c r="F177" s="9">
        <v>0.02</v>
      </c>
      <c r="G177" s="10">
        <v>0.12</v>
      </c>
      <c r="H177" s="11" t="s">
        <v>71</v>
      </c>
    </row>
    <row r="178" spans="1:8" ht="14.45" customHeight="1" thickBot="1" x14ac:dyDescent="0.3">
      <c r="A178" s="67" t="str">
        <f t="shared" si="2"/>
        <v>Bioretention Plus Cistern0.5Q2CSteepLindbergh</v>
      </c>
      <c r="B178" s="7" t="s">
        <v>70</v>
      </c>
      <c r="C178" s="7" t="s">
        <v>19</v>
      </c>
      <c r="D178" s="7" t="s">
        <v>17</v>
      </c>
      <c r="E178" s="8" t="s">
        <v>24</v>
      </c>
      <c r="F178" s="9">
        <v>0.02</v>
      </c>
      <c r="G178" s="10">
        <v>0.1</v>
      </c>
      <c r="H178" s="11" t="s">
        <v>71</v>
      </c>
    </row>
    <row r="179" spans="1:8" ht="14.45" customHeight="1" thickBot="1" x14ac:dyDescent="0.3">
      <c r="A179" s="67" t="str">
        <f t="shared" si="2"/>
        <v>Bioretention Plus Cistern0.5Q2DFlatLindbergh</v>
      </c>
      <c r="B179" s="7" t="s">
        <v>70</v>
      </c>
      <c r="C179" s="7" t="s">
        <v>20</v>
      </c>
      <c r="D179" s="7" t="s">
        <v>55</v>
      </c>
      <c r="E179" s="8" t="s">
        <v>24</v>
      </c>
      <c r="F179" s="9">
        <v>0.02</v>
      </c>
      <c r="G179" s="10">
        <v>0.1</v>
      </c>
      <c r="H179" s="11" t="s">
        <v>71</v>
      </c>
    </row>
    <row r="180" spans="1:8" ht="14.45" customHeight="1" thickBot="1" x14ac:dyDescent="0.3">
      <c r="A180" s="67" t="str">
        <f t="shared" si="2"/>
        <v>Bioretention Plus Cistern0.5Q2DModerateLindbergh</v>
      </c>
      <c r="B180" s="7" t="s">
        <v>70</v>
      </c>
      <c r="C180" s="7" t="s">
        <v>20</v>
      </c>
      <c r="D180" s="8" t="s">
        <v>16</v>
      </c>
      <c r="E180" s="8" t="s">
        <v>24</v>
      </c>
      <c r="F180" s="9">
        <v>0.02</v>
      </c>
      <c r="G180" s="10">
        <v>0.1</v>
      </c>
      <c r="H180" s="11" t="s">
        <v>71</v>
      </c>
    </row>
    <row r="181" spans="1:8" ht="14.45" customHeight="1" thickBot="1" x14ac:dyDescent="0.3">
      <c r="A181" s="67" t="str">
        <f t="shared" si="2"/>
        <v>Bioretention Plus Cistern0.5Q2DSteepLindbergh</v>
      </c>
      <c r="B181" s="7" t="s">
        <v>70</v>
      </c>
      <c r="C181" s="7" t="s">
        <v>20</v>
      </c>
      <c r="D181" s="7" t="s">
        <v>17</v>
      </c>
      <c r="E181" s="8" t="s">
        <v>24</v>
      </c>
      <c r="F181" s="9">
        <v>0.03</v>
      </c>
      <c r="G181" s="10">
        <v>0.08</v>
      </c>
      <c r="H181" s="11" t="s">
        <v>71</v>
      </c>
    </row>
    <row r="182" spans="1:8" ht="14.45" customHeight="1" thickBot="1" x14ac:dyDescent="0.3">
      <c r="A182" s="67" t="str">
        <f t="shared" si="2"/>
        <v>Bioretention Plus Cistern0.5Q2AFlatOceanside</v>
      </c>
      <c r="B182" s="7" t="s">
        <v>70</v>
      </c>
      <c r="C182" s="7" t="s">
        <v>13</v>
      </c>
      <c r="D182" s="7" t="s">
        <v>55</v>
      </c>
      <c r="E182" s="8" t="s">
        <v>23</v>
      </c>
      <c r="F182" s="9">
        <v>0.02</v>
      </c>
      <c r="G182" s="10">
        <v>0.16</v>
      </c>
      <c r="H182" s="11" t="s">
        <v>71</v>
      </c>
    </row>
    <row r="183" spans="1:8" ht="14.45" customHeight="1" thickBot="1" x14ac:dyDescent="0.3">
      <c r="A183" s="67" t="str">
        <f t="shared" si="2"/>
        <v>Bioretention Plus Cistern0.5Q2AModerateOceanside</v>
      </c>
      <c r="B183" s="7" t="s">
        <v>70</v>
      </c>
      <c r="C183" s="7" t="s">
        <v>13</v>
      </c>
      <c r="D183" s="8" t="s">
        <v>16</v>
      </c>
      <c r="E183" s="8" t="s">
        <v>23</v>
      </c>
      <c r="F183" s="9">
        <v>0.02</v>
      </c>
      <c r="G183" s="10">
        <v>0.14000000000000001</v>
      </c>
      <c r="H183" s="11" t="s">
        <v>71</v>
      </c>
    </row>
    <row r="184" spans="1:8" ht="14.45" customHeight="1" thickBot="1" x14ac:dyDescent="0.3">
      <c r="A184" s="67" t="str">
        <f t="shared" si="2"/>
        <v>Bioretention Plus Cistern0.5Q2ASteepOceanside</v>
      </c>
      <c r="B184" s="7" t="s">
        <v>70</v>
      </c>
      <c r="C184" s="7" t="s">
        <v>13</v>
      </c>
      <c r="D184" s="7" t="s">
        <v>17</v>
      </c>
      <c r="E184" s="8" t="s">
        <v>23</v>
      </c>
      <c r="F184" s="9">
        <v>0.03</v>
      </c>
      <c r="G184" s="10">
        <v>0.12</v>
      </c>
      <c r="H184" s="11" t="s">
        <v>71</v>
      </c>
    </row>
    <row r="185" spans="1:8" ht="14.45" customHeight="1" thickBot="1" x14ac:dyDescent="0.3">
      <c r="A185" s="67" t="str">
        <f t="shared" si="2"/>
        <v>Bioretention Plus Cistern0.5Q2BFlatOceanside</v>
      </c>
      <c r="B185" s="7" t="s">
        <v>70</v>
      </c>
      <c r="C185" s="7" t="s">
        <v>18</v>
      </c>
      <c r="D185" s="7" t="s">
        <v>55</v>
      </c>
      <c r="E185" s="8" t="s">
        <v>23</v>
      </c>
      <c r="F185" s="9">
        <v>0.02</v>
      </c>
      <c r="G185" s="10">
        <v>0.19</v>
      </c>
      <c r="H185" s="11" t="s">
        <v>71</v>
      </c>
    </row>
    <row r="186" spans="1:8" ht="14.45" customHeight="1" thickBot="1" x14ac:dyDescent="0.3">
      <c r="A186" s="67" t="str">
        <f t="shared" si="2"/>
        <v>Bioretention Plus Cistern0.5Q2BModerateOceanside</v>
      </c>
      <c r="B186" s="7" t="s">
        <v>70</v>
      </c>
      <c r="C186" s="7" t="s">
        <v>18</v>
      </c>
      <c r="D186" s="8" t="s">
        <v>16</v>
      </c>
      <c r="E186" s="8" t="s">
        <v>23</v>
      </c>
      <c r="F186" s="9">
        <v>2.5000000000000001E-2</v>
      </c>
      <c r="G186" s="10">
        <v>0.16</v>
      </c>
      <c r="H186" s="11" t="s">
        <v>71</v>
      </c>
    </row>
    <row r="187" spans="1:8" ht="14.45" customHeight="1" thickBot="1" x14ac:dyDescent="0.3">
      <c r="A187" s="67" t="str">
        <f t="shared" si="2"/>
        <v>Bioretention Plus Cistern0.5Q2BSteepOceanside</v>
      </c>
      <c r="B187" s="7" t="s">
        <v>70</v>
      </c>
      <c r="C187" s="7" t="s">
        <v>18</v>
      </c>
      <c r="D187" s="7" t="s">
        <v>17</v>
      </c>
      <c r="E187" s="8" t="s">
        <v>23</v>
      </c>
      <c r="F187" s="9">
        <v>3.5000000000000003E-2</v>
      </c>
      <c r="G187" s="10">
        <v>0.14000000000000001</v>
      </c>
      <c r="H187" s="11" t="s">
        <v>71</v>
      </c>
    </row>
    <row r="188" spans="1:8" ht="14.45" customHeight="1" thickBot="1" x14ac:dyDescent="0.3">
      <c r="A188" s="67" t="str">
        <f t="shared" si="2"/>
        <v>Bioretention Plus Cistern0.5Q2CFlatOceanside</v>
      </c>
      <c r="B188" s="7" t="s">
        <v>70</v>
      </c>
      <c r="C188" s="7" t="s">
        <v>19</v>
      </c>
      <c r="D188" s="7" t="s">
        <v>55</v>
      </c>
      <c r="E188" s="8" t="s">
        <v>23</v>
      </c>
      <c r="F188" s="9">
        <v>0.03</v>
      </c>
      <c r="G188" s="10">
        <v>0.14000000000000001</v>
      </c>
      <c r="H188" s="11" t="s">
        <v>71</v>
      </c>
    </row>
    <row r="189" spans="1:8" ht="14.45" customHeight="1" thickBot="1" x14ac:dyDescent="0.3">
      <c r="A189" s="67" t="str">
        <f t="shared" si="2"/>
        <v>Bioretention Plus Cistern0.5Q2CModerateOceanside</v>
      </c>
      <c r="B189" s="7" t="s">
        <v>70</v>
      </c>
      <c r="C189" s="7" t="s">
        <v>19</v>
      </c>
      <c r="D189" s="8" t="s">
        <v>16</v>
      </c>
      <c r="E189" s="8" t="s">
        <v>23</v>
      </c>
      <c r="F189" s="9">
        <v>3.5000000000000003E-2</v>
      </c>
      <c r="G189" s="10">
        <v>0.14000000000000001</v>
      </c>
      <c r="H189" s="11" t="s">
        <v>71</v>
      </c>
    </row>
    <row r="190" spans="1:8" ht="14.45" customHeight="1" thickBot="1" x14ac:dyDescent="0.3">
      <c r="A190" s="67" t="str">
        <f t="shared" si="2"/>
        <v>Bioretention Plus Cistern0.5Q2CSteepOceanside</v>
      </c>
      <c r="B190" s="7" t="s">
        <v>70</v>
      </c>
      <c r="C190" s="7" t="s">
        <v>19</v>
      </c>
      <c r="D190" s="7" t="s">
        <v>17</v>
      </c>
      <c r="E190" s="8" t="s">
        <v>23</v>
      </c>
      <c r="F190" s="9">
        <v>0.04</v>
      </c>
      <c r="G190" s="10">
        <v>0.12</v>
      </c>
      <c r="H190" s="11" t="s">
        <v>71</v>
      </c>
    </row>
    <row r="191" spans="1:8" ht="14.45" customHeight="1" thickBot="1" x14ac:dyDescent="0.3">
      <c r="A191" s="67" t="str">
        <f t="shared" si="2"/>
        <v>Bioretention Plus Cistern0.5Q2DFlatOceanside</v>
      </c>
      <c r="B191" s="7" t="s">
        <v>70</v>
      </c>
      <c r="C191" s="7" t="s">
        <v>20</v>
      </c>
      <c r="D191" s="7" t="s">
        <v>55</v>
      </c>
      <c r="E191" s="8" t="s">
        <v>23</v>
      </c>
      <c r="F191" s="9">
        <v>3.5000000000000003E-2</v>
      </c>
      <c r="G191" s="10">
        <v>0.12</v>
      </c>
      <c r="H191" s="11" t="s">
        <v>71</v>
      </c>
    </row>
    <row r="192" spans="1:8" ht="14.45" customHeight="1" thickBot="1" x14ac:dyDescent="0.3">
      <c r="A192" s="67" t="str">
        <f t="shared" si="2"/>
        <v>Bioretention Plus Cistern0.5Q2DModerateOceanside</v>
      </c>
      <c r="B192" s="7" t="s">
        <v>70</v>
      </c>
      <c r="C192" s="7" t="s">
        <v>20</v>
      </c>
      <c r="D192" s="8" t="s">
        <v>16</v>
      </c>
      <c r="E192" s="8" t="s">
        <v>23</v>
      </c>
      <c r="F192" s="9">
        <v>0.04</v>
      </c>
      <c r="G192" s="10">
        <v>0.12</v>
      </c>
      <c r="H192" s="11" t="s">
        <v>71</v>
      </c>
    </row>
    <row r="193" spans="1:8" ht="14.45" customHeight="1" thickBot="1" x14ac:dyDescent="0.3">
      <c r="A193" s="67" t="str">
        <f t="shared" si="2"/>
        <v>Bioretention Plus Cistern0.5Q2DSteepOceanside</v>
      </c>
      <c r="B193" s="7" t="s">
        <v>70</v>
      </c>
      <c r="C193" s="7" t="s">
        <v>20</v>
      </c>
      <c r="D193" s="7" t="s">
        <v>17</v>
      </c>
      <c r="E193" s="8" t="s">
        <v>23</v>
      </c>
      <c r="F193" s="9">
        <v>0.04</v>
      </c>
      <c r="G193" s="10">
        <v>0.1</v>
      </c>
      <c r="H193" s="11" t="s">
        <v>71</v>
      </c>
    </row>
    <row r="194" spans="1:8" ht="14.45" customHeight="1" thickBot="1" x14ac:dyDescent="0.3">
      <c r="A194" s="67" t="str">
        <f t="shared" si="2"/>
        <v>Bioretention Plus Cistern0.5Q2AFlatLake Wohlford</v>
      </c>
      <c r="B194" s="7" t="s">
        <v>70</v>
      </c>
      <c r="C194" s="7" t="s">
        <v>13</v>
      </c>
      <c r="D194" s="7" t="s">
        <v>55</v>
      </c>
      <c r="E194" s="7" t="s">
        <v>12</v>
      </c>
      <c r="F194" s="9">
        <v>2.5000000000000001E-2</v>
      </c>
      <c r="G194" s="10">
        <v>0.18</v>
      </c>
      <c r="H194" s="11" t="s">
        <v>71</v>
      </c>
    </row>
    <row r="195" spans="1:8" ht="14.45" customHeight="1" thickBot="1" x14ac:dyDescent="0.3">
      <c r="A195" s="67" t="str">
        <f t="shared" si="2"/>
        <v>Bioretention Plus Cistern0.5Q2AModerateLake Wohlford</v>
      </c>
      <c r="B195" s="7" t="s">
        <v>70</v>
      </c>
      <c r="C195" s="7" t="s">
        <v>13</v>
      </c>
      <c r="D195" s="8" t="s">
        <v>16</v>
      </c>
      <c r="E195" s="7" t="s">
        <v>12</v>
      </c>
      <c r="F195" s="9">
        <v>0.04</v>
      </c>
      <c r="G195" s="10">
        <v>0.14000000000000001</v>
      </c>
      <c r="H195" s="11" t="s">
        <v>71</v>
      </c>
    </row>
    <row r="196" spans="1:8" ht="14.45" customHeight="1" thickBot="1" x14ac:dyDescent="0.3">
      <c r="A196" s="67" t="str">
        <f t="shared" si="2"/>
        <v>Bioretention Plus Cistern0.5Q2ASteepLake Wohlford</v>
      </c>
      <c r="B196" s="7" t="s">
        <v>70</v>
      </c>
      <c r="C196" s="7" t="s">
        <v>13</v>
      </c>
      <c r="D196" s="7" t="s">
        <v>17</v>
      </c>
      <c r="E196" s="7" t="s">
        <v>12</v>
      </c>
      <c r="F196" s="9">
        <v>0.04</v>
      </c>
      <c r="G196" s="10">
        <v>0.08</v>
      </c>
      <c r="H196" s="11" t="s">
        <v>71</v>
      </c>
    </row>
    <row r="197" spans="1:8" ht="14.45" customHeight="1" thickBot="1" x14ac:dyDescent="0.3">
      <c r="A197" s="67" t="str">
        <f t="shared" si="2"/>
        <v>Bioretention Plus Cistern0.5Q2BFlatLake Wohlford</v>
      </c>
      <c r="B197" s="7" t="s">
        <v>70</v>
      </c>
      <c r="C197" s="7" t="s">
        <v>18</v>
      </c>
      <c r="D197" s="7" t="s">
        <v>55</v>
      </c>
      <c r="E197" s="7" t="s">
        <v>12</v>
      </c>
      <c r="F197" s="9">
        <v>0.04</v>
      </c>
      <c r="G197" s="10">
        <v>0.21</v>
      </c>
      <c r="H197" s="11" t="s">
        <v>71</v>
      </c>
    </row>
    <row r="198" spans="1:8" ht="14.45" customHeight="1" thickBot="1" x14ac:dyDescent="0.3">
      <c r="A198" s="67" t="str">
        <f t="shared" si="2"/>
        <v>Bioretention Plus Cistern0.5Q2BModerateLake Wohlford</v>
      </c>
      <c r="B198" s="7" t="s">
        <v>70</v>
      </c>
      <c r="C198" s="7" t="s">
        <v>18</v>
      </c>
      <c r="D198" s="8" t="s">
        <v>16</v>
      </c>
      <c r="E198" s="7" t="s">
        <v>12</v>
      </c>
      <c r="F198" s="9">
        <v>0.04</v>
      </c>
      <c r="G198" s="10">
        <v>0.2</v>
      </c>
      <c r="H198" s="11" t="s">
        <v>71</v>
      </c>
    </row>
    <row r="199" spans="1:8" ht="14.45" customHeight="1" thickBot="1" x14ac:dyDescent="0.3">
      <c r="A199" s="67" t="str">
        <f t="shared" si="2"/>
        <v>Bioretention Plus Cistern0.5Q2BSteepLake Wohlford</v>
      </c>
      <c r="B199" s="7" t="s">
        <v>70</v>
      </c>
      <c r="C199" s="7" t="s">
        <v>18</v>
      </c>
      <c r="D199" s="7" t="s">
        <v>17</v>
      </c>
      <c r="E199" s="7" t="s">
        <v>12</v>
      </c>
      <c r="F199" s="9">
        <v>0.04</v>
      </c>
      <c r="G199" s="10">
        <v>0.14000000000000001</v>
      </c>
      <c r="H199" s="11" t="s">
        <v>71</v>
      </c>
    </row>
    <row r="200" spans="1:8" ht="14.45" customHeight="1" thickBot="1" x14ac:dyDescent="0.3">
      <c r="A200" s="67" t="str">
        <f t="shared" si="2"/>
        <v>Bioretention Plus Cistern0.5Q2CFlatLake Wohlford</v>
      </c>
      <c r="B200" s="7" t="s">
        <v>70</v>
      </c>
      <c r="C200" s="7" t="s">
        <v>19</v>
      </c>
      <c r="D200" s="7" t="s">
        <v>55</v>
      </c>
      <c r="E200" s="7" t="s">
        <v>12</v>
      </c>
      <c r="F200" s="9">
        <v>0.04</v>
      </c>
      <c r="G200" s="10">
        <v>0.14000000000000001</v>
      </c>
      <c r="H200" s="11" t="s">
        <v>71</v>
      </c>
    </row>
    <row r="201" spans="1:8" ht="14.45" customHeight="1" thickBot="1" x14ac:dyDescent="0.3">
      <c r="A201" s="67" t="str">
        <f t="shared" si="2"/>
        <v>Bioretention Plus Cistern0.5Q2CModerateLake Wohlford</v>
      </c>
      <c r="B201" s="7" t="s">
        <v>70</v>
      </c>
      <c r="C201" s="7" t="s">
        <v>19</v>
      </c>
      <c r="D201" s="8" t="s">
        <v>16</v>
      </c>
      <c r="E201" s="7" t="s">
        <v>12</v>
      </c>
      <c r="F201" s="9">
        <v>0.04</v>
      </c>
      <c r="G201" s="10">
        <v>0.14000000000000001</v>
      </c>
      <c r="H201" s="11" t="s">
        <v>71</v>
      </c>
    </row>
    <row r="202" spans="1:8" ht="14.45" customHeight="1" thickBot="1" x14ac:dyDescent="0.3">
      <c r="A202" s="67" t="str">
        <f t="shared" si="2"/>
        <v>Bioretention Plus Cistern0.5Q2CSteepLake Wohlford</v>
      </c>
      <c r="B202" s="7" t="s">
        <v>70</v>
      </c>
      <c r="C202" s="7" t="s">
        <v>19</v>
      </c>
      <c r="D202" s="7" t="s">
        <v>17</v>
      </c>
      <c r="E202" s="7" t="s">
        <v>12</v>
      </c>
      <c r="F202" s="9">
        <v>0.04</v>
      </c>
      <c r="G202" s="10">
        <v>0.1</v>
      </c>
      <c r="H202" s="11" t="s">
        <v>71</v>
      </c>
    </row>
    <row r="203" spans="1:8" ht="14.45" customHeight="1" thickBot="1" x14ac:dyDescent="0.3">
      <c r="A203" s="67" t="str">
        <f t="shared" si="2"/>
        <v>Bioretention Plus Cistern0.5Q2DFlatLake Wohlford</v>
      </c>
      <c r="B203" s="7" t="s">
        <v>70</v>
      </c>
      <c r="C203" s="7" t="s">
        <v>20</v>
      </c>
      <c r="D203" s="7" t="s">
        <v>55</v>
      </c>
      <c r="E203" s="7" t="s">
        <v>12</v>
      </c>
      <c r="F203" s="9">
        <v>0.04</v>
      </c>
      <c r="G203" s="10">
        <v>0.1</v>
      </c>
      <c r="H203" s="11" t="s">
        <v>71</v>
      </c>
    </row>
    <row r="204" spans="1:8" ht="14.45" customHeight="1" thickBot="1" x14ac:dyDescent="0.3">
      <c r="A204" s="67" t="str">
        <f t="shared" si="2"/>
        <v>Bioretention Plus Cistern0.5Q2DModerateLake Wohlford</v>
      </c>
      <c r="B204" s="7" t="s">
        <v>70</v>
      </c>
      <c r="C204" s="7" t="s">
        <v>20</v>
      </c>
      <c r="D204" s="8" t="s">
        <v>16</v>
      </c>
      <c r="E204" s="7" t="s">
        <v>12</v>
      </c>
      <c r="F204" s="9">
        <v>0.04</v>
      </c>
      <c r="G204" s="10">
        <v>0.1</v>
      </c>
      <c r="H204" s="11" t="s">
        <v>71</v>
      </c>
    </row>
    <row r="205" spans="1:8" ht="14.45" customHeight="1" thickBot="1" x14ac:dyDescent="0.3">
      <c r="A205" s="67" t="str">
        <f t="shared" si="2"/>
        <v>Bioretention Plus Cistern0.5Q2DSteepLake Wohlford</v>
      </c>
      <c r="B205" s="7" t="s">
        <v>70</v>
      </c>
      <c r="C205" s="7" t="s">
        <v>20</v>
      </c>
      <c r="D205" s="7" t="s">
        <v>17</v>
      </c>
      <c r="E205" s="7" t="s">
        <v>12</v>
      </c>
      <c r="F205" s="9">
        <v>0.04</v>
      </c>
      <c r="G205" s="10">
        <v>0.08</v>
      </c>
      <c r="H205" s="11" t="s">
        <v>71</v>
      </c>
    </row>
    <row r="206" spans="1:8" ht="14.45" customHeight="1" thickBot="1" x14ac:dyDescent="0.3">
      <c r="A206" s="67" t="str">
        <f t="shared" si="2"/>
        <v>Bioretention Plus Cistern0.3Q2AFlatLindbergh</v>
      </c>
      <c r="B206" s="7" t="s">
        <v>72</v>
      </c>
      <c r="C206" s="7" t="s">
        <v>13</v>
      </c>
      <c r="D206" s="7" t="s">
        <v>55</v>
      </c>
      <c r="E206" s="8" t="s">
        <v>24</v>
      </c>
      <c r="F206" s="9">
        <v>0.02</v>
      </c>
      <c r="G206" s="10">
        <v>0.12</v>
      </c>
      <c r="H206" s="11" t="s">
        <v>71</v>
      </c>
    </row>
    <row r="207" spans="1:8" ht="14.45" customHeight="1" thickBot="1" x14ac:dyDescent="0.3">
      <c r="A207" s="67" t="str">
        <f t="shared" si="2"/>
        <v>Bioretention Plus Cistern0.3Q2AModerateLindbergh</v>
      </c>
      <c r="B207" s="7" t="s">
        <v>72</v>
      </c>
      <c r="C207" s="7" t="s">
        <v>13</v>
      </c>
      <c r="D207" s="8" t="s">
        <v>16</v>
      </c>
      <c r="E207" s="8" t="s">
        <v>24</v>
      </c>
      <c r="F207" s="9">
        <v>0.02</v>
      </c>
      <c r="G207" s="10">
        <v>0.1</v>
      </c>
      <c r="H207" s="11" t="s">
        <v>71</v>
      </c>
    </row>
    <row r="208" spans="1:8" ht="14.45" customHeight="1" thickBot="1" x14ac:dyDescent="0.3">
      <c r="A208" s="67" t="str">
        <f t="shared" si="2"/>
        <v>Bioretention Plus Cistern0.3Q2ASteepLindbergh</v>
      </c>
      <c r="B208" s="7" t="s">
        <v>72</v>
      </c>
      <c r="C208" s="7" t="s">
        <v>13</v>
      </c>
      <c r="D208" s="7" t="s">
        <v>17</v>
      </c>
      <c r="E208" s="8" t="s">
        <v>24</v>
      </c>
      <c r="F208" s="9">
        <v>0.02</v>
      </c>
      <c r="G208" s="10">
        <v>0.1</v>
      </c>
      <c r="H208" s="11" t="s">
        <v>71</v>
      </c>
    </row>
    <row r="209" spans="1:8" ht="14.45" customHeight="1" thickBot="1" x14ac:dyDescent="0.3">
      <c r="A209" s="67" t="str">
        <f t="shared" si="2"/>
        <v>Bioretention Plus Cistern0.3Q2BFlatLindbergh</v>
      </c>
      <c r="B209" s="7" t="s">
        <v>72</v>
      </c>
      <c r="C209" s="7" t="s">
        <v>18</v>
      </c>
      <c r="D209" s="7" t="s">
        <v>55</v>
      </c>
      <c r="E209" s="8" t="s">
        <v>24</v>
      </c>
      <c r="F209" s="9">
        <v>0.02</v>
      </c>
      <c r="G209" s="10">
        <v>0.59</v>
      </c>
      <c r="H209" s="11" t="s">
        <v>71</v>
      </c>
    </row>
    <row r="210" spans="1:8" ht="14.45" customHeight="1" thickBot="1" x14ac:dyDescent="0.3">
      <c r="A210" s="67" t="str">
        <f t="shared" si="2"/>
        <v>Bioretention Plus Cistern0.3Q2BModerateLindbergh</v>
      </c>
      <c r="B210" s="7" t="s">
        <v>72</v>
      </c>
      <c r="C210" s="7" t="s">
        <v>18</v>
      </c>
      <c r="D210" s="8" t="s">
        <v>16</v>
      </c>
      <c r="E210" s="8" t="s">
        <v>24</v>
      </c>
      <c r="F210" s="9">
        <v>0.02</v>
      </c>
      <c r="G210" s="10">
        <v>0.36</v>
      </c>
      <c r="H210" s="11" t="s">
        <v>71</v>
      </c>
    </row>
    <row r="211" spans="1:8" ht="14.45" customHeight="1" thickBot="1" x14ac:dyDescent="0.3">
      <c r="A211" s="67" t="str">
        <f t="shared" si="2"/>
        <v>Bioretention Plus Cistern0.3Q2BSteepLindbergh</v>
      </c>
      <c r="B211" s="7" t="s">
        <v>72</v>
      </c>
      <c r="C211" s="7" t="s">
        <v>18</v>
      </c>
      <c r="D211" s="7" t="s">
        <v>17</v>
      </c>
      <c r="E211" s="8" t="s">
        <v>24</v>
      </c>
      <c r="F211" s="9">
        <v>0.02</v>
      </c>
      <c r="G211" s="10">
        <v>0.18</v>
      </c>
      <c r="H211" s="11" t="s">
        <v>71</v>
      </c>
    </row>
    <row r="212" spans="1:8" ht="14.45" customHeight="1" thickBot="1" x14ac:dyDescent="0.3">
      <c r="A212" s="67" t="str">
        <f t="shared" si="2"/>
        <v>Bioretention Plus Cistern0.3Q2CFlatLindbergh</v>
      </c>
      <c r="B212" s="7" t="s">
        <v>72</v>
      </c>
      <c r="C212" s="7" t="s">
        <v>19</v>
      </c>
      <c r="D212" s="7" t="s">
        <v>55</v>
      </c>
      <c r="E212" s="8" t="s">
        <v>24</v>
      </c>
      <c r="F212" s="9">
        <v>0.02</v>
      </c>
      <c r="G212" s="10">
        <v>0.18</v>
      </c>
      <c r="H212" s="11" t="s">
        <v>71</v>
      </c>
    </row>
    <row r="213" spans="1:8" ht="14.45" customHeight="1" thickBot="1" x14ac:dyDescent="0.3">
      <c r="A213" s="67" t="str">
        <f t="shared" si="2"/>
        <v>Bioretention Plus Cistern0.3Q2CModerateLindbergh</v>
      </c>
      <c r="B213" s="7" t="s">
        <v>72</v>
      </c>
      <c r="C213" s="7" t="s">
        <v>19</v>
      </c>
      <c r="D213" s="8" t="s">
        <v>16</v>
      </c>
      <c r="E213" s="8" t="s">
        <v>24</v>
      </c>
      <c r="F213" s="9">
        <v>0.02</v>
      </c>
      <c r="G213" s="10">
        <v>0.18</v>
      </c>
      <c r="H213" s="11" t="s">
        <v>71</v>
      </c>
    </row>
    <row r="214" spans="1:8" ht="14.45" customHeight="1" thickBot="1" x14ac:dyDescent="0.3">
      <c r="A214" s="67" t="str">
        <f t="shared" si="2"/>
        <v>Bioretention Plus Cistern0.3Q2CSteepLindbergh</v>
      </c>
      <c r="B214" s="7" t="s">
        <v>72</v>
      </c>
      <c r="C214" s="7" t="s">
        <v>19</v>
      </c>
      <c r="D214" s="7" t="s">
        <v>17</v>
      </c>
      <c r="E214" s="8" t="s">
        <v>24</v>
      </c>
      <c r="F214" s="9">
        <v>0.02</v>
      </c>
      <c r="G214" s="10">
        <v>0.14000000000000001</v>
      </c>
      <c r="H214" s="11" t="s">
        <v>71</v>
      </c>
    </row>
    <row r="215" spans="1:8" ht="14.45" customHeight="1" thickBot="1" x14ac:dyDescent="0.3">
      <c r="A215" s="67" t="str">
        <f t="shared" si="2"/>
        <v>Bioretention Plus Cistern0.3Q2DFlatLindbergh</v>
      </c>
      <c r="B215" s="7" t="s">
        <v>72</v>
      </c>
      <c r="C215" s="7" t="s">
        <v>20</v>
      </c>
      <c r="D215" s="7" t="s">
        <v>55</v>
      </c>
      <c r="E215" s="8" t="s">
        <v>24</v>
      </c>
      <c r="F215" s="9">
        <v>0.02</v>
      </c>
      <c r="G215" s="10">
        <v>0.14000000000000001</v>
      </c>
      <c r="H215" s="11" t="s">
        <v>71</v>
      </c>
    </row>
    <row r="216" spans="1:8" ht="14.45" customHeight="1" thickBot="1" x14ac:dyDescent="0.3">
      <c r="A216" s="67" t="str">
        <f t="shared" si="2"/>
        <v>Bioretention Plus Cistern0.3Q2DModerateLindbergh</v>
      </c>
      <c r="B216" s="7" t="s">
        <v>72</v>
      </c>
      <c r="C216" s="7" t="s">
        <v>20</v>
      </c>
      <c r="D216" s="8" t="s">
        <v>16</v>
      </c>
      <c r="E216" s="8" t="s">
        <v>24</v>
      </c>
      <c r="F216" s="9">
        <v>0.02</v>
      </c>
      <c r="G216" s="10">
        <v>0.14000000000000001</v>
      </c>
      <c r="H216" s="11" t="s">
        <v>71</v>
      </c>
    </row>
    <row r="217" spans="1:8" ht="14.45" customHeight="1" thickBot="1" x14ac:dyDescent="0.3">
      <c r="A217" s="67" t="str">
        <f t="shared" si="2"/>
        <v>Bioretention Plus Cistern0.3Q2DSteepLindbergh</v>
      </c>
      <c r="B217" s="7" t="s">
        <v>72</v>
      </c>
      <c r="C217" s="7" t="s">
        <v>20</v>
      </c>
      <c r="D217" s="7" t="s">
        <v>17</v>
      </c>
      <c r="E217" s="8" t="s">
        <v>24</v>
      </c>
      <c r="F217" s="9">
        <v>0.02</v>
      </c>
      <c r="G217" s="10">
        <v>0.08</v>
      </c>
      <c r="H217" s="11" t="s">
        <v>71</v>
      </c>
    </row>
    <row r="218" spans="1:8" ht="14.45" customHeight="1" thickBot="1" x14ac:dyDescent="0.3">
      <c r="A218" s="67" t="str">
        <f t="shared" si="2"/>
        <v>Bioretention Plus Cistern0.3Q2AFlatOceanside</v>
      </c>
      <c r="B218" s="7" t="s">
        <v>72</v>
      </c>
      <c r="C218" s="7" t="s">
        <v>13</v>
      </c>
      <c r="D218" s="7" t="s">
        <v>55</v>
      </c>
      <c r="E218" s="8" t="s">
        <v>23</v>
      </c>
      <c r="F218" s="9">
        <v>0.02</v>
      </c>
      <c r="G218" s="10">
        <v>0.16</v>
      </c>
      <c r="H218" s="11" t="s">
        <v>71</v>
      </c>
    </row>
    <row r="219" spans="1:8" ht="14.45" customHeight="1" thickBot="1" x14ac:dyDescent="0.3">
      <c r="A219" s="67" t="str">
        <f t="shared" si="2"/>
        <v>Bioretention Plus Cistern0.3Q2AModerateOceanside</v>
      </c>
      <c r="B219" s="7" t="s">
        <v>72</v>
      </c>
      <c r="C219" s="7" t="s">
        <v>13</v>
      </c>
      <c r="D219" s="8" t="s">
        <v>16</v>
      </c>
      <c r="E219" s="8" t="s">
        <v>23</v>
      </c>
      <c r="F219" s="9">
        <v>0.02</v>
      </c>
      <c r="G219" s="10">
        <v>0.14000000000000001</v>
      </c>
      <c r="H219" s="11" t="s">
        <v>71</v>
      </c>
    </row>
    <row r="220" spans="1:8" ht="14.45" customHeight="1" thickBot="1" x14ac:dyDescent="0.3">
      <c r="A220" s="67" t="str">
        <f t="shared" si="2"/>
        <v>Bioretention Plus Cistern0.3Q2ASteepOceanside</v>
      </c>
      <c r="B220" s="7" t="s">
        <v>72</v>
      </c>
      <c r="C220" s="7" t="s">
        <v>13</v>
      </c>
      <c r="D220" s="7" t="s">
        <v>17</v>
      </c>
      <c r="E220" s="8" t="s">
        <v>23</v>
      </c>
      <c r="F220" s="9">
        <v>0.02</v>
      </c>
      <c r="G220" s="10">
        <v>0.12</v>
      </c>
      <c r="H220" s="11" t="s">
        <v>71</v>
      </c>
    </row>
    <row r="221" spans="1:8" ht="14.45" customHeight="1" thickBot="1" x14ac:dyDescent="0.3">
      <c r="A221" s="67" t="str">
        <f t="shared" si="2"/>
        <v>Bioretention Plus Cistern0.3Q2BFlatOceanside</v>
      </c>
      <c r="B221" s="7" t="s">
        <v>72</v>
      </c>
      <c r="C221" s="7" t="s">
        <v>18</v>
      </c>
      <c r="D221" s="7" t="s">
        <v>55</v>
      </c>
      <c r="E221" s="8" t="s">
        <v>23</v>
      </c>
      <c r="F221" s="9">
        <v>0.02</v>
      </c>
      <c r="G221" s="10">
        <v>0.22</v>
      </c>
      <c r="H221" s="11" t="s">
        <v>71</v>
      </c>
    </row>
    <row r="222" spans="1:8" ht="14.45" customHeight="1" thickBot="1" x14ac:dyDescent="0.3">
      <c r="A222" s="67" t="str">
        <f t="shared" si="2"/>
        <v>Bioretention Plus Cistern0.3Q2BModerateOceanside</v>
      </c>
      <c r="B222" s="7" t="s">
        <v>72</v>
      </c>
      <c r="C222" s="7" t="s">
        <v>18</v>
      </c>
      <c r="D222" s="8" t="s">
        <v>16</v>
      </c>
      <c r="E222" s="8" t="s">
        <v>23</v>
      </c>
      <c r="F222" s="9">
        <v>0.02</v>
      </c>
      <c r="G222" s="10">
        <v>0.18</v>
      </c>
      <c r="H222" s="11" t="s">
        <v>71</v>
      </c>
    </row>
    <row r="223" spans="1:8" ht="14.45" customHeight="1" thickBot="1" x14ac:dyDescent="0.3">
      <c r="A223" s="67" t="str">
        <f t="shared" si="2"/>
        <v>Bioretention Plus Cistern0.3Q2BSteepOceanside</v>
      </c>
      <c r="B223" s="7" t="s">
        <v>72</v>
      </c>
      <c r="C223" s="7" t="s">
        <v>18</v>
      </c>
      <c r="D223" s="7" t="s">
        <v>17</v>
      </c>
      <c r="E223" s="8" t="s">
        <v>23</v>
      </c>
      <c r="F223" s="9">
        <v>0.02</v>
      </c>
      <c r="G223" s="10">
        <v>0.16</v>
      </c>
      <c r="H223" s="11" t="s">
        <v>71</v>
      </c>
    </row>
    <row r="224" spans="1:8" ht="14.45" customHeight="1" thickBot="1" x14ac:dyDescent="0.3">
      <c r="A224" s="67" t="str">
        <f t="shared" si="2"/>
        <v>Bioretention Plus Cistern0.3Q2CFlatOceanside</v>
      </c>
      <c r="B224" s="7" t="s">
        <v>72</v>
      </c>
      <c r="C224" s="7" t="s">
        <v>19</v>
      </c>
      <c r="D224" s="7" t="s">
        <v>55</v>
      </c>
      <c r="E224" s="8" t="s">
        <v>23</v>
      </c>
      <c r="F224" s="9">
        <v>0.02</v>
      </c>
      <c r="G224" s="10">
        <v>0.16</v>
      </c>
      <c r="H224" s="11" t="s">
        <v>71</v>
      </c>
    </row>
    <row r="225" spans="1:8" ht="14.45" customHeight="1" thickBot="1" x14ac:dyDescent="0.3">
      <c r="A225" s="67" t="str">
        <f t="shared" si="2"/>
        <v>Bioretention Plus Cistern0.3Q2CModerateOceanside</v>
      </c>
      <c r="B225" s="7" t="s">
        <v>72</v>
      </c>
      <c r="C225" s="7" t="s">
        <v>19</v>
      </c>
      <c r="D225" s="8" t="s">
        <v>16</v>
      </c>
      <c r="E225" s="8" t="s">
        <v>23</v>
      </c>
      <c r="F225" s="9">
        <v>0.02</v>
      </c>
      <c r="G225" s="10">
        <v>0.16</v>
      </c>
      <c r="H225" s="11" t="s">
        <v>71</v>
      </c>
    </row>
    <row r="226" spans="1:8" ht="14.45" customHeight="1" thickBot="1" x14ac:dyDescent="0.3">
      <c r="A226" s="67" t="str">
        <f t="shared" si="2"/>
        <v>Bioretention Plus Cistern0.3Q2CSteepOceanside</v>
      </c>
      <c r="B226" s="7" t="s">
        <v>72</v>
      </c>
      <c r="C226" s="7" t="s">
        <v>19</v>
      </c>
      <c r="D226" s="7" t="s">
        <v>17</v>
      </c>
      <c r="E226" s="8" t="s">
        <v>23</v>
      </c>
      <c r="F226" s="9">
        <v>2.5000000000000001E-2</v>
      </c>
      <c r="G226" s="10">
        <v>0.14000000000000001</v>
      </c>
      <c r="H226" s="11" t="s">
        <v>71</v>
      </c>
    </row>
    <row r="227" spans="1:8" ht="14.45" customHeight="1" thickBot="1" x14ac:dyDescent="0.3">
      <c r="A227" s="67" t="str">
        <f t="shared" si="2"/>
        <v>Bioretention Plus Cistern0.3Q2DFlatOceanside</v>
      </c>
      <c r="B227" s="7" t="s">
        <v>72</v>
      </c>
      <c r="C227" s="7" t="s">
        <v>20</v>
      </c>
      <c r="D227" s="7" t="s">
        <v>55</v>
      </c>
      <c r="E227" s="8" t="s">
        <v>23</v>
      </c>
      <c r="F227" s="9">
        <v>0.02</v>
      </c>
      <c r="G227" s="10">
        <v>0.14000000000000001</v>
      </c>
      <c r="H227" s="11" t="s">
        <v>71</v>
      </c>
    </row>
    <row r="228" spans="1:8" ht="14.45" customHeight="1" thickBot="1" x14ac:dyDescent="0.3">
      <c r="A228" s="67" t="str">
        <f t="shared" si="2"/>
        <v>Bioretention Plus Cistern0.3Q2DModerateOceanside</v>
      </c>
      <c r="B228" s="7" t="s">
        <v>72</v>
      </c>
      <c r="C228" s="7" t="s">
        <v>20</v>
      </c>
      <c r="D228" s="8" t="s">
        <v>16</v>
      </c>
      <c r="E228" s="8" t="s">
        <v>23</v>
      </c>
      <c r="F228" s="9">
        <v>2.5000000000000001E-2</v>
      </c>
      <c r="G228" s="10">
        <v>0.14000000000000001</v>
      </c>
      <c r="H228" s="11" t="s">
        <v>71</v>
      </c>
    </row>
    <row r="229" spans="1:8" ht="14.45" customHeight="1" thickBot="1" x14ac:dyDescent="0.3">
      <c r="A229" s="67" t="str">
        <f t="shared" si="2"/>
        <v>Bioretention Plus Cistern0.3Q2DSteepOceanside</v>
      </c>
      <c r="B229" s="7" t="s">
        <v>72</v>
      </c>
      <c r="C229" s="7" t="s">
        <v>20</v>
      </c>
      <c r="D229" s="7" t="s">
        <v>17</v>
      </c>
      <c r="E229" s="8" t="s">
        <v>23</v>
      </c>
      <c r="F229" s="9">
        <v>0.03</v>
      </c>
      <c r="G229" s="10">
        <v>0.12</v>
      </c>
      <c r="H229" s="11" t="s">
        <v>71</v>
      </c>
    </row>
    <row r="230" spans="1:8" ht="14.45" customHeight="1" thickBot="1" x14ac:dyDescent="0.3">
      <c r="A230" s="67" t="str">
        <f t="shared" si="2"/>
        <v>Bioretention Plus Cistern0.3Q2AFlatLake Wohlford</v>
      </c>
      <c r="B230" s="7" t="s">
        <v>72</v>
      </c>
      <c r="C230" s="7" t="s">
        <v>13</v>
      </c>
      <c r="D230" s="7" t="s">
        <v>55</v>
      </c>
      <c r="E230" s="7" t="s">
        <v>12</v>
      </c>
      <c r="F230" s="9">
        <v>0.02</v>
      </c>
      <c r="G230" s="10">
        <v>0.18</v>
      </c>
      <c r="H230" s="11" t="s">
        <v>71</v>
      </c>
    </row>
    <row r="231" spans="1:8" ht="14.45" customHeight="1" thickBot="1" x14ac:dyDescent="0.3">
      <c r="A231" s="67" t="str">
        <f t="shared" si="2"/>
        <v>Bioretention Plus Cistern0.3Q2AModerateLake Wohlford</v>
      </c>
      <c r="B231" s="7" t="s">
        <v>72</v>
      </c>
      <c r="C231" s="7" t="s">
        <v>13</v>
      </c>
      <c r="D231" s="8" t="s">
        <v>16</v>
      </c>
      <c r="E231" s="7" t="s">
        <v>12</v>
      </c>
      <c r="F231" s="9">
        <v>2.5000000000000001E-2</v>
      </c>
      <c r="G231" s="10">
        <v>0.14000000000000001</v>
      </c>
      <c r="H231" s="11" t="s">
        <v>71</v>
      </c>
    </row>
    <row r="232" spans="1:8" ht="14.45" customHeight="1" thickBot="1" x14ac:dyDescent="0.3">
      <c r="A232" s="67" t="str">
        <f t="shared" si="2"/>
        <v>Bioretention Plus Cistern0.3Q2ASteepLake Wohlford</v>
      </c>
      <c r="B232" s="7" t="s">
        <v>72</v>
      </c>
      <c r="C232" s="7" t="s">
        <v>13</v>
      </c>
      <c r="D232" s="7" t="s">
        <v>17</v>
      </c>
      <c r="E232" s="7" t="s">
        <v>12</v>
      </c>
      <c r="F232" s="9">
        <v>0.03</v>
      </c>
      <c r="G232" s="10">
        <v>0.08</v>
      </c>
      <c r="H232" s="11" t="s">
        <v>71</v>
      </c>
    </row>
    <row r="233" spans="1:8" ht="14.45" customHeight="1" thickBot="1" x14ac:dyDescent="0.3">
      <c r="A233" s="67" t="str">
        <f t="shared" si="2"/>
        <v>Bioretention Plus Cistern0.3Q2BFlatLake Wohlford</v>
      </c>
      <c r="B233" s="7" t="s">
        <v>72</v>
      </c>
      <c r="C233" s="7" t="s">
        <v>18</v>
      </c>
      <c r="D233" s="7" t="s">
        <v>55</v>
      </c>
      <c r="E233" s="7" t="s">
        <v>12</v>
      </c>
      <c r="F233" s="9">
        <v>2.5000000000000001E-2</v>
      </c>
      <c r="G233" s="10">
        <v>0.26</v>
      </c>
      <c r="H233" s="11" t="s">
        <v>71</v>
      </c>
    </row>
    <row r="234" spans="1:8" ht="14.45" customHeight="1" thickBot="1" x14ac:dyDescent="0.3">
      <c r="A234" s="67" t="str">
        <f t="shared" si="2"/>
        <v>Bioretention Plus Cistern0.3Q2BModerateLake Wohlford</v>
      </c>
      <c r="B234" s="7" t="s">
        <v>72</v>
      </c>
      <c r="C234" s="7" t="s">
        <v>18</v>
      </c>
      <c r="D234" s="8" t="s">
        <v>16</v>
      </c>
      <c r="E234" s="7" t="s">
        <v>12</v>
      </c>
      <c r="F234" s="9">
        <v>2.5000000000000001E-2</v>
      </c>
      <c r="G234" s="10">
        <v>0.24</v>
      </c>
      <c r="H234" s="11" t="s">
        <v>71</v>
      </c>
    </row>
    <row r="235" spans="1:8" ht="14.45" customHeight="1" thickBot="1" x14ac:dyDescent="0.3">
      <c r="A235" s="67" t="str">
        <f t="shared" ref="A235:A277" si="3">CONCATENATE(A$41,B235,C235,D235,E235)</f>
        <v>Bioretention Plus Cistern0.3Q2BSteepLake Wohlford</v>
      </c>
      <c r="B235" s="7" t="s">
        <v>72</v>
      </c>
      <c r="C235" s="7" t="s">
        <v>18</v>
      </c>
      <c r="D235" s="7" t="s">
        <v>17</v>
      </c>
      <c r="E235" s="7" t="s">
        <v>12</v>
      </c>
      <c r="F235" s="9">
        <v>0.03</v>
      </c>
      <c r="G235" s="10">
        <v>0.18</v>
      </c>
      <c r="H235" s="11" t="s">
        <v>71</v>
      </c>
    </row>
    <row r="236" spans="1:8" ht="14.45" customHeight="1" thickBot="1" x14ac:dyDescent="0.3">
      <c r="A236" s="67" t="str">
        <f t="shared" si="3"/>
        <v>Bioretention Plus Cistern0.3Q2CFlatLake Wohlford</v>
      </c>
      <c r="B236" s="7" t="s">
        <v>72</v>
      </c>
      <c r="C236" s="7" t="s">
        <v>19</v>
      </c>
      <c r="D236" s="7" t="s">
        <v>55</v>
      </c>
      <c r="E236" s="7" t="s">
        <v>12</v>
      </c>
      <c r="F236" s="9">
        <v>0.03</v>
      </c>
      <c r="G236" s="10">
        <v>0.18</v>
      </c>
      <c r="H236" s="11" t="s">
        <v>71</v>
      </c>
    </row>
    <row r="237" spans="1:8" ht="14.45" customHeight="1" thickBot="1" x14ac:dyDescent="0.3">
      <c r="A237" s="67" t="str">
        <f t="shared" si="3"/>
        <v>Bioretention Plus Cistern0.3Q2CModerateLake Wohlford</v>
      </c>
      <c r="B237" s="7" t="s">
        <v>72</v>
      </c>
      <c r="C237" s="7" t="s">
        <v>19</v>
      </c>
      <c r="D237" s="8" t="s">
        <v>16</v>
      </c>
      <c r="E237" s="7" t="s">
        <v>12</v>
      </c>
      <c r="F237" s="9">
        <v>0.03</v>
      </c>
      <c r="G237" s="10">
        <v>0.18</v>
      </c>
      <c r="H237" s="11" t="s">
        <v>71</v>
      </c>
    </row>
    <row r="238" spans="1:8" ht="14.45" customHeight="1" thickBot="1" x14ac:dyDescent="0.3">
      <c r="A238" s="67" t="str">
        <f t="shared" si="3"/>
        <v>Bioretention Plus Cistern0.3Q2CSteepLake Wohlford</v>
      </c>
      <c r="B238" s="7" t="s">
        <v>72</v>
      </c>
      <c r="C238" s="7" t="s">
        <v>19</v>
      </c>
      <c r="D238" s="7" t="s">
        <v>17</v>
      </c>
      <c r="E238" s="7" t="s">
        <v>12</v>
      </c>
      <c r="F238" s="9">
        <v>3.5000000000000003E-2</v>
      </c>
      <c r="G238" s="10">
        <v>0.14000000000000001</v>
      </c>
      <c r="H238" s="11" t="s">
        <v>71</v>
      </c>
    </row>
    <row r="239" spans="1:8" ht="14.45" customHeight="1" thickBot="1" x14ac:dyDescent="0.3">
      <c r="A239" s="67" t="str">
        <f t="shared" si="3"/>
        <v>Bioretention Plus Cistern0.3Q2DFlatLake Wohlford</v>
      </c>
      <c r="B239" s="7" t="s">
        <v>72</v>
      </c>
      <c r="C239" s="7" t="s">
        <v>20</v>
      </c>
      <c r="D239" s="7" t="s">
        <v>55</v>
      </c>
      <c r="E239" s="7" t="s">
        <v>12</v>
      </c>
      <c r="F239" s="9">
        <v>0.03</v>
      </c>
      <c r="G239" s="10">
        <v>0.14000000000000001</v>
      </c>
      <c r="H239" s="11" t="s">
        <v>71</v>
      </c>
    </row>
    <row r="240" spans="1:8" ht="14.45" customHeight="1" thickBot="1" x14ac:dyDescent="0.3">
      <c r="A240" s="67" t="str">
        <f t="shared" si="3"/>
        <v>Bioretention Plus Cistern0.3Q2DModerateLake Wohlford</v>
      </c>
      <c r="B240" s="7" t="s">
        <v>72</v>
      </c>
      <c r="C240" s="7" t="s">
        <v>20</v>
      </c>
      <c r="D240" s="8" t="s">
        <v>16</v>
      </c>
      <c r="E240" s="7" t="s">
        <v>12</v>
      </c>
      <c r="F240" s="9">
        <v>3.5000000000000003E-2</v>
      </c>
      <c r="G240" s="10">
        <v>0.14000000000000001</v>
      </c>
      <c r="H240" s="11" t="s">
        <v>71</v>
      </c>
    </row>
    <row r="241" spans="1:8" ht="14.45" customHeight="1" thickBot="1" x14ac:dyDescent="0.3">
      <c r="A241" s="67" t="str">
        <f t="shared" si="3"/>
        <v>Bioretention Plus Cistern0.3Q2DSteepLake Wohlford</v>
      </c>
      <c r="B241" s="7" t="s">
        <v>72</v>
      </c>
      <c r="C241" s="7" t="s">
        <v>20</v>
      </c>
      <c r="D241" s="7" t="s">
        <v>17</v>
      </c>
      <c r="E241" s="7" t="s">
        <v>12</v>
      </c>
      <c r="F241" s="9">
        <v>0.04</v>
      </c>
      <c r="G241" s="10">
        <v>0.1</v>
      </c>
      <c r="H241" s="11" t="s">
        <v>71</v>
      </c>
    </row>
    <row r="242" spans="1:8" ht="14.45" customHeight="1" thickBot="1" x14ac:dyDescent="0.3">
      <c r="A242" s="67" t="str">
        <f t="shared" si="3"/>
        <v>Bioretention Plus Cistern0.1Q2AFlatLindbergh</v>
      </c>
      <c r="B242" s="7" t="s">
        <v>73</v>
      </c>
      <c r="C242" s="7" t="s">
        <v>13</v>
      </c>
      <c r="D242" s="7" t="s">
        <v>55</v>
      </c>
      <c r="E242" s="8" t="s">
        <v>24</v>
      </c>
      <c r="F242" s="9">
        <v>0.02</v>
      </c>
      <c r="G242" s="10">
        <v>0.12</v>
      </c>
      <c r="H242" s="11" t="s">
        <v>71</v>
      </c>
    </row>
    <row r="243" spans="1:8" ht="14.45" customHeight="1" thickBot="1" x14ac:dyDescent="0.3">
      <c r="A243" s="67" t="str">
        <f t="shared" si="3"/>
        <v>Bioretention Plus Cistern0.1Q2AModerateLindbergh</v>
      </c>
      <c r="B243" s="7" t="s">
        <v>73</v>
      </c>
      <c r="C243" s="7" t="s">
        <v>13</v>
      </c>
      <c r="D243" s="8" t="s">
        <v>16</v>
      </c>
      <c r="E243" s="8" t="s">
        <v>24</v>
      </c>
      <c r="F243" s="9">
        <v>0.02</v>
      </c>
      <c r="G243" s="10">
        <v>0.1</v>
      </c>
      <c r="H243" s="11" t="s">
        <v>71</v>
      </c>
    </row>
    <row r="244" spans="1:8" ht="14.45" customHeight="1" thickBot="1" x14ac:dyDescent="0.3">
      <c r="A244" s="67" t="str">
        <f t="shared" si="3"/>
        <v>Bioretention Plus Cistern0.1Q2ASteepLindbergh</v>
      </c>
      <c r="B244" s="7" t="s">
        <v>73</v>
      </c>
      <c r="C244" s="7" t="s">
        <v>13</v>
      </c>
      <c r="D244" s="7" t="s">
        <v>17</v>
      </c>
      <c r="E244" s="8" t="s">
        <v>24</v>
      </c>
      <c r="F244" s="9">
        <v>0.02</v>
      </c>
      <c r="G244" s="10">
        <v>0.1</v>
      </c>
      <c r="H244" s="11" t="s">
        <v>71</v>
      </c>
    </row>
    <row r="245" spans="1:8" ht="14.45" customHeight="1" thickBot="1" x14ac:dyDescent="0.3">
      <c r="A245" s="67" t="str">
        <f t="shared" si="3"/>
        <v>Bioretention Plus Cistern0.1Q2BFlatLindbergh</v>
      </c>
      <c r="B245" s="7" t="s">
        <v>73</v>
      </c>
      <c r="C245" s="7" t="s">
        <v>18</v>
      </c>
      <c r="D245" s="7" t="s">
        <v>55</v>
      </c>
      <c r="E245" s="8" t="s">
        <v>24</v>
      </c>
      <c r="F245" s="9">
        <v>0.02</v>
      </c>
      <c r="G245" s="10">
        <v>0.54</v>
      </c>
      <c r="H245" s="11" t="s">
        <v>71</v>
      </c>
    </row>
    <row r="246" spans="1:8" ht="14.45" customHeight="1" thickBot="1" x14ac:dyDescent="0.3">
      <c r="A246" s="67" t="str">
        <f t="shared" si="3"/>
        <v>Bioretention Plus Cistern0.1Q2BModerateLindbergh</v>
      </c>
      <c r="B246" s="7" t="s">
        <v>73</v>
      </c>
      <c r="C246" s="7" t="s">
        <v>18</v>
      </c>
      <c r="D246" s="8" t="s">
        <v>16</v>
      </c>
      <c r="E246" s="8" t="s">
        <v>24</v>
      </c>
      <c r="F246" s="9">
        <v>0.02</v>
      </c>
      <c r="G246" s="10">
        <v>0.78</v>
      </c>
      <c r="H246" s="11" t="s">
        <v>71</v>
      </c>
    </row>
    <row r="247" spans="1:8" ht="14.45" customHeight="1" thickBot="1" x14ac:dyDescent="0.3">
      <c r="A247" s="67" t="str">
        <f t="shared" si="3"/>
        <v>Bioretention Plus Cistern0.1Q2BSteepLindbergh</v>
      </c>
      <c r="B247" s="7" t="s">
        <v>73</v>
      </c>
      <c r="C247" s="7" t="s">
        <v>18</v>
      </c>
      <c r="D247" s="7" t="s">
        <v>17</v>
      </c>
      <c r="E247" s="8" t="s">
        <v>24</v>
      </c>
      <c r="F247" s="9">
        <v>0.02</v>
      </c>
      <c r="G247" s="10">
        <v>0.34</v>
      </c>
      <c r="H247" s="11" t="s">
        <v>71</v>
      </c>
    </row>
    <row r="248" spans="1:8" ht="14.45" customHeight="1" thickBot="1" x14ac:dyDescent="0.3">
      <c r="A248" s="67" t="str">
        <f t="shared" si="3"/>
        <v>Bioretention Plus Cistern0.1Q2CFlatLindbergh</v>
      </c>
      <c r="B248" s="7" t="s">
        <v>73</v>
      </c>
      <c r="C248" s="7" t="s">
        <v>19</v>
      </c>
      <c r="D248" s="7" t="s">
        <v>55</v>
      </c>
      <c r="E248" s="8" t="s">
        <v>24</v>
      </c>
      <c r="F248" s="9">
        <v>0.02</v>
      </c>
      <c r="G248" s="10">
        <v>0.36</v>
      </c>
      <c r="H248" s="11" t="s">
        <v>71</v>
      </c>
    </row>
    <row r="249" spans="1:8" ht="14.45" customHeight="1" thickBot="1" x14ac:dyDescent="0.3">
      <c r="A249" s="67" t="str">
        <f t="shared" si="3"/>
        <v>Bioretention Plus Cistern0.1Q2CModerateLindbergh</v>
      </c>
      <c r="B249" s="7" t="s">
        <v>73</v>
      </c>
      <c r="C249" s="7" t="s">
        <v>19</v>
      </c>
      <c r="D249" s="8" t="s">
        <v>16</v>
      </c>
      <c r="E249" s="8" t="s">
        <v>24</v>
      </c>
      <c r="F249" s="9">
        <v>0.02</v>
      </c>
      <c r="G249" s="10">
        <v>0.36</v>
      </c>
      <c r="H249" s="11" t="s">
        <v>71</v>
      </c>
    </row>
    <row r="250" spans="1:8" ht="14.45" customHeight="1" thickBot="1" x14ac:dyDescent="0.3">
      <c r="A250" s="67" t="str">
        <f t="shared" si="3"/>
        <v>Bioretention Plus Cistern0.1Q2CSteepLindbergh</v>
      </c>
      <c r="B250" s="7" t="s">
        <v>73</v>
      </c>
      <c r="C250" s="7" t="s">
        <v>19</v>
      </c>
      <c r="D250" s="7" t="s">
        <v>17</v>
      </c>
      <c r="E250" s="8" t="s">
        <v>24</v>
      </c>
      <c r="F250" s="9">
        <v>0.02</v>
      </c>
      <c r="G250" s="10">
        <v>0.24</v>
      </c>
      <c r="H250" s="11" t="s">
        <v>71</v>
      </c>
    </row>
    <row r="251" spans="1:8" ht="14.45" customHeight="1" thickBot="1" x14ac:dyDescent="0.3">
      <c r="A251" s="67" t="str">
        <f t="shared" si="3"/>
        <v>Bioretention Plus Cistern0.1Q2DFlatLindbergh</v>
      </c>
      <c r="B251" s="7" t="s">
        <v>73</v>
      </c>
      <c r="C251" s="7" t="s">
        <v>20</v>
      </c>
      <c r="D251" s="7" t="s">
        <v>55</v>
      </c>
      <c r="E251" s="8" t="s">
        <v>24</v>
      </c>
      <c r="F251" s="9">
        <v>0.02</v>
      </c>
      <c r="G251" s="10">
        <v>0.26</v>
      </c>
      <c r="H251" s="11" t="s">
        <v>71</v>
      </c>
    </row>
    <row r="252" spans="1:8" ht="14.45" customHeight="1" thickBot="1" x14ac:dyDescent="0.3">
      <c r="A252" s="67" t="str">
        <f t="shared" si="3"/>
        <v>Bioretention Plus Cistern0.1Q2DModerateLindbergh</v>
      </c>
      <c r="B252" s="7" t="s">
        <v>73</v>
      </c>
      <c r="C252" s="7" t="s">
        <v>20</v>
      </c>
      <c r="D252" s="8" t="s">
        <v>16</v>
      </c>
      <c r="E252" s="8" t="s">
        <v>24</v>
      </c>
      <c r="F252" s="9">
        <v>0.02</v>
      </c>
      <c r="G252" s="10">
        <v>0.26</v>
      </c>
      <c r="H252" s="11" t="s">
        <v>71</v>
      </c>
    </row>
    <row r="253" spans="1:8" ht="14.45" customHeight="1" thickBot="1" x14ac:dyDescent="0.3">
      <c r="A253" s="67" t="str">
        <f t="shared" si="3"/>
        <v>Bioretention Plus Cistern0.1Q2DSteepLindbergh</v>
      </c>
      <c r="B253" s="7" t="s">
        <v>73</v>
      </c>
      <c r="C253" s="7" t="s">
        <v>20</v>
      </c>
      <c r="D253" s="7" t="s">
        <v>17</v>
      </c>
      <c r="E253" s="8" t="s">
        <v>24</v>
      </c>
      <c r="F253" s="9">
        <v>0.02</v>
      </c>
      <c r="G253" s="10">
        <v>0.16</v>
      </c>
      <c r="H253" s="11" t="s">
        <v>71</v>
      </c>
    </row>
    <row r="254" spans="1:8" ht="14.45" customHeight="1" thickBot="1" x14ac:dyDescent="0.3">
      <c r="A254" s="67" t="str">
        <f t="shared" si="3"/>
        <v>Bioretention Plus Cistern0.1Q2AFlatOceanside</v>
      </c>
      <c r="B254" s="7" t="s">
        <v>73</v>
      </c>
      <c r="C254" s="7" t="s">
        <v>13</v>
      </c>
      <c r="D254" s="7" t="s">
        <v>55</v>
      </c>
      <c r="E254" s="8" t="s">
        <v>23</v>
      </c>
      <c r="F254" s="9">
        <v>0.02</v>
      </c>
      <c r="G254" s="10">
        <v>0.16</v>
      </c>
      <c r="H254" s="11" t="s">
        <v>71</v>
      </c>
    </row>
    <row r="255" spans="1:8" ht="14.45" customHeight="1" thickBot="1" x14ac:dyDescent="0.3">
      <c r="A255" s="67" t="str">
        <f t="shared" si="3"/>
        <v>Bioretention Plus Cistern0.1Q2AModerateOceanside</v>
      </c>
      <c r="B255" s="7" t="s">
        <v>73</v>
      </c>
      <c r="C255" s="7" t="s">
        <v>13</v>
      </c>
      <c r="D255" s="8" t="s">
        <v>16</v>
      </c>
      <c r="E255" s="8" t="s">
        <v>23</v>
      </c>
      <c r="F255" s="9">
        <v>0.02</v>
      </c>
      <c r="G255" s="10">
        <v>0.14000000000000001</v>
      </c>
      <c r="H255" s="11" t="s">
        <v>71</v>
      </c>
    </row>
    <row r="256" spans="1:8" ht="14.45" customHeight="1" thickBot="1" x14ac:dyDescent="0.3">
      <c r="A256" s="67" t="str">
        <f t="shared" si="3"/>
        <v>Bioretention Plus Cistern0.1Q2ASteepOceanside</v>
      </c>
      <c r="B256" s="7" t="s">
        <v>73</v>
      </c>
      <c r="C256" s="7" t="s">
        <v>13</v>
      </c>
      <c r="D256" s="7" t="s">
        <v>17</v>
      </c>
      <c r="E256" s="8" t="s">
        <v>23</v>
      </c>
      <c r="F256" s="9">
        <v>0.02</v>
      </c>
      <c r="G256" s="10">
        <v>0.12</v>
      </c>
      <c r="H256" s="11" t="s">
        <v>71</v>
      </c>
    </row>
    <row r="257" spans="1:8" ht="14.45" customHeight="1" thickBot="1" x14ac:dyDescent="0.3">
      <c r="A257" s="67" t="str">
        <f t="shared" si="3"/>
        <v>Bioretention Plus Cistern0.1Q2BFlatOceanside</v>
      </c>
      <c r="B257" s="7" t="s">
        <v>73</v>
      </c>
      <c r="C257" s="7" t="s">
        <v>18</v>
      </c>
      <c r="D257" s="7" t="s">
        <v>55</v>
      </c>
      <c r="E257" s="8" t="s">
        <v>23</v>
      </c>
      <c r="F257" s="9">
        <v>0.02</v>
      </c>
      <c r="G257" s="10">
        <v>0.51</v>
      </c>
      <c r="H257" s="11" t="s">
        <v>71</v>
      </c>
    </row>
    <row r="258" spans="1:8" ht="14.45" customHeight="1" thickBot="1" x14ac:dyDescent="0.3">
      <c r="A258" s="67" t="str">
        <f t="shared" si="3"/>
        <v>Bioretention Plus Cistern0.1Q2BModerateOceanside</v>
      </c>
      <c r="B258" s="7" t="s">
        <v>73</v>
      </c>
      <c r="C258" s="7" t="s">
        <v>18</v>
      </c>
      <c r="D258" s="8" t="s">
        <v>16</v>
      </c>
      <c r="E258" s="8" t="s">
        <v>23</v>
      </c>
      <c r="F258" s="9">
        <v>0.02</v>
      </c>
      <c r="G258" s="10">
        <v>0.34</v>
      </c>
      <c r="H258" s="11" t="s">
        <v>71</v>
      </c>
    </row>
    <row r="259" spans="1:8" ht="14.45" customHeight="1" thickBot="1" x14ac:dyDescent="0.3">
      <c r="A259" s="67" t="str">
        <f t="shared" si="3"/>
        <v>Bioretention Plus Cistern0.1Q2BSteepOceanside</v>
      </c>
      <c r="B259" s="7" t="s">
        <v>73</v>
      </c>
      <c r="C259" s="7" t="s">
        <v>18</v>
      </c>
      <c r="D259" s="7" t="s">
        <v>17</v>
      </c>
      <c r="E259" s="8" t="s">
        <v>23</v>
      </c>
      <c r="F259" s="9">
        <v>0.02</v>
      </c>
      <c r="G259" s="10">
        <v>0.24</v>
      </c>
      <c r="H259" s="11" t="s">
        <v>71</v>
      </c>
    </row>
    <row r="260" spans="1:8" ht="14.45" customHeight="1" thickBot="1" x14ac:dyDescent="0.3">
      <c r="A260" s="67" t="str">
        <f t="shared" si="3"/>
        <v>Bioretention Plus Cistern0.1Q2CFlatOceanside</v>
      </c>
      <c r="B260" s="7" t="s">
        <v>73</v>
      </c>
      <c r="C260" s="7" t="s">
        <v>19</v>
      </c>
      <c r="D260" s="7" t="s">
        <v>55</v>
      </c>
      <c r="E260" s="8" t="s">
        <v>23</v>
      </c>
      <c r="F260" s="9">
        <v>0.02</v>
      </c>
      <c r="G260" s="10">
        <v>0.26</v>
      </c>
      <c r="H260" s="11" t="s">
        <v>71</v>
      </c>
    </row>
    <row r="261" spans="1:8" ht="14.45" customHeight="1" thickBot="1" x14ac:dyDescent="0.3">
      <c r="A261" s="67" t="str">
        <f t="shared" si="3"/>
        <v>Bioretention Plus Cistern0.1Q2CModerateOceanside</v>
      </c>
      <c r="B261" s="7" t="s">
        <v>73</v>
      </c>
      <c r="C261" s="7" t="s">
        <v>19</v>
      </c>
      <c r="D261" s="8" t="s">
        <v>16</v>
      </c>
      <c r="E261" s="8" t="s">
        <v>23</v>
      </c>
      <c r="F261" s="9">
        <v>0.02</v>
      </c>
      <c r="G261" s="10">
        <v>0.26</v>
      </c>
      <c r="H261" s="11" t="s">
        <v>71</v>
      </c>
    </row>
    <row r="262" spans="1:8" ht="14.45" customHeight="1" thickBot="1" x14ac:dyDescent="0.3">
      <c r="A262" s="67" t="str">
        <f t="shared" si="3"/>
        <v>Bioretention Plus Cistern0.1Q2CSteepOceanside</v>
      </c>
      <c r="B262" s="7" t="s">
        <v>73</v>
      </c>
      <c r="C262" s="7" t="s">
        <v>19</v>
      </c>
      <c r="D262" s="7" t="s">
        <v>17</v>
      </c>
      <c r="E262" s="8" t="s">
        <v>23</v>
      </c>
      <c r="F262" s="9">
        <v>0.02</v>
      </c>
      <c r="G262" s="10">
        <v>0.2</v>
      </c>
      <c r="H262" s="11" t="s">
        <v>71</v>
      </c>
    </row>
    <row r="263" spans="1:8" ht="14.45" customHeight="1" thickBot="1" x14ac:dyDescent="0.3">
      <c r="A263" s="67" t="str">
        <f t="shared" si="3"/>
        <v>Bioretention Plus Cistern0.1Q2DFlatOceanside</v>
      </c>
      <c r="B263" s="7" t="s">
        <v>73</v>
      </c>
      <c r="C263" s="7" t="s">
        <v>20</v>
      </c>
      <c r="D263" s="7" t="s">
        <v>55</v>
      </c>
      <c r="E263" s="8" t="s">
        <v>23</v>
      </c>
      <c r="F263" s="9">
        <v>0.02</v>
      </c>
      <c r="G263" s="10">
        <v>0.2</v>
      </c>
      <c r="H263" s="11" t="s">
        <v>71</v>
      </c>
    </row>
    <row r="264" spans="1:8" ht="14.45" customHeight="1" thickBot="1" x14ac:dyDescent="0.3">
      <c r="A264" s="67" t="str">
        <f t="shared" si="3"/>
        <v>Bioretention Plus Cistern0.1Q2DModerateOceanside</v>
      </c>
      <c r="B264" s="7" t="s">
        <v>73</v>
      </c>
      <c r="C264" s="7" t="s">
        <v>20</v>
      </c>
      <c r="D264" s="8" t="s">
        <v>16</v>
      </c>
      <c r="E264" s="8" t="s">
        <v>23</v>
      </c>
      <c r="F264" s="9">
        <v>0.02</v>
      </c>
      <c r="G264" s="10">
        <v>0.2</v>
      </c>
      <c r="H264" s="11" t="s">
        <v>71</v>
      </c>
    </row>
    <row r="265" spans="1:8" ht="14.45" customHeight="1" thickBot="1" x14ac:dyDescent="0.3">
      <c r="A265" s="67" t="str">
        <f t="shared" si="3"/>
        <v>Bioretention Plus Cistern0.1Q2DSteepOceanside</v>
      </c>
      <c r="B265" s="7" t="s">
        <v>73</v>
      </c>
      <c r="C265" s="7" t="s">
        <v>20</v>
      </c>
      <c r="D265" s="7" t="s">
        <v>17</v>
      </c>
      <c r="E265" s="8" t="s">
        <v>23</v>
      </c>
      <c r="F265" s="9">
        <v>0.02</v>
      </c>
      <c r="G265" s="10">
        <v>0.18</v>
      </c>
      <c r="H265" s="11" t="s">
        <v>71</v>
      </c>
    </row>
    <row r="266" spans="1:8" ht="14.45" customHeight="1" thickBot="1" x14ac:dyDescent="0.3">
      <c r="A266" s="67" t="str">
        <f t="shared" si="3"/>
        <v>Bioretention Plus Cistern0.1Q2AFlatLake Wohlford</v>
      </c>
      <c r="B266" s="7" t="s">
        <v>73</v>
      </c>
      <c r="C266" s="7" t="s">
        <v>13</v>
      </c>
      <c r="D266" s="7" t="s">
        <v>55</v>
      </c>
      <c r="E266" s="7" t="s">
        <v>12</v>
      </c>
      <c r="F266" s="9">
        <v>0.02</v>
      </c>
      <c r="G266" s="10">
        <v>0.18</v>
      </c>
      <c r="H266" s="11" t="s">
        <v>71</v>
      </c>
    </row>
    <row r="267" spans="1:8" ht="14.45" customHeight="1" thickBot="1" x14ac:dyDescent="0.3">
      <c r="A267" s="67" t="str">
        <f t="shared" si="3"/>
        <v>Bioretention Plus Cistern0.1Q2AModerateLake Wohlford</v>
      </c>
      <c r="B267" s="7" t="s">
        <v>73</v>
      </c>
      <c r="C267" s="7" t="s">
        <v>13</v>
      </c>
      <c r="D267" s="8" t="s">
        <v>16</v>
      </c>
      <c r="E267" s="7" t="s">
        <v>12</v>
      </c>
      <c r="F267" s="9">
        <v>0.02</v>
      </c>
      <c r="G267" s="10">
        <v>0.14000000000000001</v>
      </c>
      <c r="H267" s="11" t="s">
        <v>71</v>
      </c>
    </row>
    <row r="268" spans="1:8" ht="14.45" customHeight="1" thickBot="1" x14ac:dyDescent="0.3">
      <c r="A268" s="67" t="str">
        <f t="shared" si="3"/>
        <v>Bioretention Plus Cistern0.1Q2ASteepLake Wohlford</v>
      </c>
      <c r="B268" s="7" t="s">
        <v>73</v>
      </c>
      <c r="C268" s="7" t="s">
        <v>13</v>
      </c>
      <c r="D268" s="7" t="s">
        <v>17</v>
      </c>
      <c r="E268" s="7" t="s">
        <v>12</v>
      </c>
      <c r="F268" s="9">
        <v>0.02</v>
      </c>
      <c r="G268" s="10">
        <v>0.08</v>
      </c>
      <c r="H268" s="11" t="s">
        <v>71</v>
      </c>
    </row>
    <row r="269" spans="1:8" ht="14.45" customHeight="1" thickBot="1" x14ac:dyDescent="0.3">
      <c r="A269" s="67" t="str">
        <f t="shared" si="3"/>
        <v>Bioretention Plus Cistern0.1Q2BFlatLake Wohlford</v>
      </c>
      <c r="B269" s="7" t="s">
        <v>73</v>
      </c>
      <c r="C269" s="7" t="s">
        <v>18</v>
      </c>
      <c r="D269" s="7" t="s">
        <v>55</v>
      </c>
      <c r="E269" s="7" t="s">
        <v>12</v>
      </c>
      <c r="F269" s="9">
        <v>0.02</v>
      </c>
      <c r="G269" s="10">
        <v>0.44</v>
      </c>
      <c r="H269" s="11" t="s">
        <v>71</v>
      </c>
    </row>
    <row r="270" spans="1:8" ht="14.45" customHeight="1" thickBot="1" x14ac:dyDescent="0.3">
      <c r="A270" s="67" t="str">
        <f t="shared" si="3"/>
        <v>Bioretention Plus Cistern0.1Q2BModerateLake Wohlford</v>
      </c>
      <c r="B270" s="7" t="s">
        <v>73</v>
      </c>
      <c r="C270" s="7" t="s">
        <v>18</v>
      </c>
      <c r="D270" s="8" t="s">
        <v>16</v>
      </c>
      <c r="E270" s="7" t="s">
        <v>12</v>
      </c>
      <c r="F270" s="9">
        <v>0.02</v>
      </c>
      <c r="G270" s="10">
        <v>0.4</v>
      </c>
      <c r="H270" s="11" t="s">
        <v>71</v>
      </c>
    </row>
    <row r="271" spans="1:8" ht="14.45" customHeight="1" thickBot="1" x14ac:dyDescent="0.3">
      <c r="A271" s="67" t="str">
        <f t="shared" si="3"/>
        <v>Bioretention Plus Cistern0.1Q2BSteepLake Wohlford</v>
      </c>
      <c r="B271" s="7" t="s">
        <v>73</v>
      </c>
      <c r="C271" s="7" t="s">
        <v>18</v>
      </c>
      <c r="D271" s="7" t="s">
        <v>17</v>
      </c>
      <c r="E271" s="7" t="s">
        <v>12</v>
      </c>
      <c r="F271" s="9">
        <v>0.02</v>
      </c>
      <c r="G271" s="10">
        <v>0.32</v>
      </c>
      <c r="H271" s="11" t="s">
        <v>71</v>
      </c>
    </row>
    <row r="272" spans="1:8" ht="14.45" customHeight="1" thickBot="1" x14ac:dyDescent="0.3">
      <c r="A272" s="67" t="str">
        <f t="shared" si="3"/>
        <v>Bioretention Plus Cistern0.1Q2CFlatLake Wohlford</v>
      </c>
      <c r="B272" s="7" t="s">
        <v>73</v>
      </c>
      <c r="C272" s="7" t="s">
        <v>19</v>
      </c>
      <c r="D272" s="7" t="s">
        <v>55</v>
      </c>
      <c r="E272" s="7" t="s">
        <v>12</v>
      </c>
      <c r="F272" s="9">
        <v>0.02</v>
      </c>
      <c r="G272" s="10">
        <v>0.32</v>
      </c>
      <c r="H272" s="11" t="s">
        <v>71</v>
      </c>
    </row>
    <row r="273" spans="1:8" ht="14.45" customHeight="1" thickBot="1" x14ac:dyDescent="0.3">
      <c r="A273" s="67" t="str">
        <f t="shared" si="3"/>
        <v>Bioretention Plus Cistern0.1Q2CModerateLake Wohlford</v>
      </c>
      <c r="B273" s="7" t="s">
        <v>73</v>
      </c>
      <c r="C273" s="7" t="s">
        <v>19</v>
      </c>
      <c r="D273" s="8" t="s">
        <v>16</v>
      </c>
      <c r="E273" s="7" t="s">
        <v>12</v>
      </c>
      <c r="F273" s="9">
        <v>0.02</v>
      </c>
      <c r="G273" s="10">
        <v>0.32</v>
      </c>
      <c r="H273" s="11" t="s">
        <v>71</v>
      </c>
    </row>
    <row r="274" spans="1:8" ht="14.45" customHeight="1" thickBot="1" x14ac:dyDescent="0.3">
      <c r="A274" s="67" t="str">
        <f t="shared" si="3"/>
        <v>Bioretention Plus Cistern0.1Q2CSteepLake Wohlford</v>
      </c>
      <c r="B274" s="7" t="s">
        <v>73</v>
      </c>
      <c r="C274" s="7" t="s">
        <v>19</v>
      </c>
      <c r="D274" s="7" t="s">
        <v>17</v>
      </c>
      <c r="E274" s="7" t="s">
        <v>12</v>
      </c>
      <c r="F274" s="9">
        <v>0.02</v>
      </c>
      <c r="G274" s="10">
        <v>0.22</v>
      </c>
      <c r="H274" s="11" t="s">
        <v>71</v>
      </c>
    </row>
    <row r="275" spans="1:8" ht="14.45" customHeight="1" thickBot="1" x14ac:dyDescent="0.3">
      <c r="A275" s="67" t="str">
        <f t="shared" si="3"/>
        <v>Bioretention Plus Cistern0.1Q2DFlatLake Wohlford</v>
      </c>
      <c r="B275" s="7" t="s">
        <v>73</v>
      </c>
      <c r="C275" s="7" t="s">
        <v>20</v>
      </c>
      <c r="D275" s="7" t="s">
        <v>55</v>
      </c>
      <c r="E275" s="7" t="s">
        <v>12</v>
      </c>
      <c r="F275" s="9">
        <v>0.02</v>
      </c>
      <c r="G275" s="10">
        <v>0.24</v>
      </c>
      <c r="H275" s="11" t="s">
        <v>71</v>
      </c>
    </row>
    <row r="276" spans="1:8" ht="14.45" customHeight="1" thickBot="1" x14ac:dyDescent="0.3">
      <c r="A276" s="67" t="str">
        <f t="shared" si="3"/>
        <v>Bioretention Plus Cistern0.1Q2DModerateLake Wohlford</v>
      </c>
      <c r="B276" s="7" t="s">
        <v>73</v>
      </c>
      <c r="C276" s="7" t="s">
        <v>20</v>
      </c>
      <c r="D276" s="8" t="s">
        <v>16</v>
      </c>
      <c r="E276" s="7" t="s">
        <v>12</v>
      </c>
      <c r="F276" s="9">
        <v>0.02</v>
      </c>
      <c r="G276" s="10">
        <v>0.24</v>
      </c>
      <c r="H276" s="11" t="s">
        <v>71</v>
      </c>
    </row>
    <row r="277" spans="1:8" ht="14.45" customHeight="1" thickBot="1" x14ac:dyDescent="0.3">
      <c r="A277" s="67" t="str">
        <f t="shared" si="3"/>
        <v>Bioretention Plus Cistern0.1Q2DSteepLake Wohlford</v>
      </c>
      <c r="B277" s="7" t="s">
        <v>73</v>
      </c>
      <c r="C277" s="7" t="s">
        <v>20</v>
      </c>
      <c r="D277" s="7" t="s">
        <v>17</v>
      </c>
      <c r="E277" s="7" t="s">
        <v>12</v>
      </c>
      <c r="F277" s="9">
        <v>0.02</v>
      </c>
      <c r="G277" s="10">
        <v>0.18</v>
      </c>
      <c r="H277" s="11" t="s">
        <v>71</v>
      </c>
    </row>
    <row r="278" spans="1:8" ht="14.45" customHeight="1" x14ac:dyDescent="0.25">
      <c r="B278" s="13"/>
    </row>
    <row r="279" spans="1:8" ht="14.45" customHeight="1" x14ac:dyDescent="0.25">
      <c r="B279" s="13"/>
    </row>
    <row r="280" spans="1:8" ht="14.45" customHeight="1" thickBot="1" x14ac:dyDescent="0.3">
      <c r="B280" s="219" t="s">
        <v>75</v>
      </c>
      <c r="C280" s="219"/>
      <c r="D280" s="219"/>
      <c r="E280" s="219"/>
      <c r="F280" s="219"/>
      <c r="G280" s="219"/>
      <c r="H280" s="219"/>
    </row>
    <row r="281" spans="1:8" ht="14.45" customHeight="1" thickBot="1" x14ac:dyDescent="0.3">
      <c r="B281" s="3" t="s">
        <v>81</v>
      </c>
      <c r="C281" s="3" t="s">
        <v>67</v>
      </c>
      <c r="D281" s="4" t="s">
        <v>7</v>
      </c>
      <c r="E281" s="5" t="s">
        <v>4</v>
      </c>
      <c r="F281" s="4" t="s">
        <v>13</v>
      </c>
      <c r="G281" s="4" t="s">
        <v>68</v>
      </c>
      <c r="H281" s="6" t="s">
        <v>69</v>
      </c>
    </row>
    <row r="282" spans="1:8" ht="14.45" customHeight="1" thickBot="1" x14ac:dyDescent="0.3">
      <c r="A282" s="67" t="str">
        <f>CONCATENATE(A$42,B282,C282,D282,E282)</f>
        <v>Bioretention Plus Vault0.5Q2AFlatLindbergh</v>
      </c>
      <c r="B282" s="7" t="s">
        <v>70</v>
      </c>
      <c r="C282" s="7" t="s">
        <v>13</v>
      </c>
      <c r="D282" s="7" t="s">
        <v>55</v>
      </c>
      <c r="E282" s="8" t="s">
        <v>24</v>
      </c>
      <c r="F282" s="9" t="s">
        <v>71</v>
      </c>
      <c r="G282" s="9" t="s">
        <v>71</v>
      </c>
      <c r="H282" s="11" t="s">
        <v>71</v>
      </c>
    </row>
    <row r="283" spans="1:8" ht="14.45" customHeight="1" thickBot="1" x14ac:dyDescent="0.3">
      <c r="A283" s="67" t="str">
        <f t="shared" ref="A283:A346" si="4">CONCATENATE(A$42,B283,C283,D283,E283)</f>
        <v>Bioretention Plus Vault0.5Q2AModerateLindbergh</v>
      </c>
      <c r="B283" s="7" t="s">
        <v>70</v>
      </c>
      <c r="C283" s="7" t="s">
        <v>13</v>
      </c>
      <c r="D283" s="8" t="s">
        <v>16</v>
      </c>
      <c r="E283" s="8" t="s">
        <v>24</v>
      </c>
      <c r="F283" s="9" t="s">
        <v>71</v>
      </c>
      <c r="G283" s="9" t="s">
        <v>71</v>
      </c>
      <c r="H283" s="11" t="s">
        <v>71</v>
      </c>
    </row>
    <row r="284" spans="1:8" ht="14.45" customHeight="1" thickBot="1" x14ac:dyDescent="0.3">
      <c r="A284" s="67" t="str">
        <f t="shared" si="4"/>
        <v>Bioretention Plus Vault0.5Q2ASteepLindbergh</v>
      </c>
      <c r="B284" s="7" t="s">
        <v>70</v>
      </c>
      <c r="C284" s="7" t="s">
        <v>13</v>
      </c>
      <c r="D284" s="7" t="s">
        <v>17</v>
      </c>
      <c r="E284" s="8" t="s">
        <v>24</v>
      </c>
      <c r="F284" s="9" t="s">
        <v>71</v>
      </c>
      <c r="G284" s="9" t="s">
        <v>71</v>
      </c>
      <c r="H284" s="11" t="s">
        <v>71</v>
      </c>
    </row>
    <row r="285" spans="1:8" ht="14.45" customHeight="1" thickBot="1" x14ac:dyDescent="0.3">
      <c r="A285" s="67" t="str">
        <f t="shared" si="4"/>
        <v>Bioretention Plus Vault0.5Q2BFlatLindbergh</v>
      </c>
      <c r="B285" s="7" t="s">
        <v>70</v>
      </c>
      <c r="C285" s="7" t="s">
        <v>18</v>
      </c>
      <c r="D285" s="7" t="s">
        <v>55</v>
      </c>
      <c r="E285" s="8" t="s">
        <v>24</v>
      </c>
      <c r="F285" s="9">
        <v>0.04</v>
      </c>
      <c r="G285" s="10">
        <v>0.36</v>
      </c>
      <c r="H285" s="11" t="s">
        <v>71</v>
      </c>
    </row>
    <row r="286" spans="1:8" ht="14.45" customHeight="1" thickBot="1" x14ac:dyDescent="0.3">
      <c r="A286" s="67" t="str">
        <f t="shared" si="4"/>
        <v>Bioretention Plus Vault0.5Q2BModerateLindbergh</v>
      </c>
      <c r="B286" s="7" t="s">
        <v>70</v>
      </c>
      <c r="C286" s="7" t="s">
        <v>18</v>
      </c>
      <c r="D286" s="8" t="s">
        <v>16</v>
      </c>
      <c r="E286" s="8" t="s">
        <v>24</v>
      </c>
      <c r="F286" s="9">
        <v>0.04</v>
      </c>
      <c r="G286" s="10">
        <v>0.24</v>
      </c>
      <c r="H286" s="11" t="s">
        <v>71</v>
      </c>
    </row>
    <row r="287" spans="1:8" ht="14.45" customHeight="1" thickBot="1" x14ac:dyDescent="0.3">
      <c r="A287" s="67" t="str">
        <f t="shared" si="4"/>
        <v>Bioretention Plus Vault0.5Q2BSteepLindbergh</v>
      </c>
      <c r="B287" s="7" t="s">
        <v>70</v>
      </c>
      <c r="C287" s="7" t="s">
        <v>18</v>
      </c>
      <c r="D287" s="7" t="s">
        <v>17</v>
      </c>
      <c r="E287" s="8" t="s">
        <v>24</v>
      </c>
      <c r="F287" s="9">
        <v>0.04</v>
      </c>
      <c r="G287" s="10">
        <v>0.14000000000000001</v>
      </c>
      <c r="H287" s="11" t="s">
        <v>71</v>
      </c>
    </row>
    <row r="288" spans="1:8" ht="14.45" customHeight="1" thickBot="1" x14ac:dyDescent="0.3">
      <c r="A288" s="67" t="str">
        <f t="shared" si="4"/>
        <v>Bioretention Plus Vault0.5Q2CFlatLindbergh</v>
      </c>
      <c r="B288" s="7" t="s">
        <v>70</v>
      </c>
      <c r="C288" s="7" t="s">
        <v>19</v>
      </c>
      <c r="D288" s="7" t="s">
        <v>55</v>
      </c>
      <c r="E288" s="8" t="s">
        <v>24</v>
      </c>
      <c r="F288" s="9">
        <v>0.04</v>
      </c>
      <c r="G288" s="10">
        <v>0.16</v>
      </c>
      <c r="H288" s="11" t="s">
        <v>71</v>
      </c>
    </row>
    <row r="289" spans="1:8" ht="14.45" customHeight="1" thickBot="1" x14ac:dyDescent="0.3">
      <c r="A289" s="67" t="str">
        <f t="shared" si="4"/>
        <v>Bioretention Plus Vault0.5Q2CModerateLindbergh</v>
      </c>
      <c r="B289" s="7" t="s">
        <v>70</v>
      </c>
      <c r="C289" s="7" t="s">
        <v>19</v>
      </c>
      <c r="D289" s="8" t="s">
        <v>16</v>
      </c>
      <c r="E289" s="8" t="s">
        <v>24</v>
      </c>
      <c r="F289" s="9">
        <v>0.04</v>
      </c>
      <c r="G289" s="10">
        <v>0.16</v>
      </c>
      <c r="H289" s="11" t="s">
        <v>71</v>
      </c>
    </row>
    <row r="290" spans="1:8" ht="14.45" customHeight="1" thickBot="1" x14ac:dyDescent="0.3">
      <c r="A290" s="67" t="str">
        <f t="shared" si="4"/>
        <v>Bioretention Plus Vault0.5Q2CSteepLindbergh</v>
      </c>
      <c r="B290" s="7" t="s">
        <v>70</v>
      </c>
      <c r="C290" s="7" t="s">
        <v>19</v>
      </c>
      <c r="D290" s="7" t="s">
        <v>17</v>
      </c>
      <c r="E290" s="8" t="s">
        <v>24</v>
      </c>
      <c r="F290" s="9">
        <v>0.04</v>
      </c>
      <c r="G290" s="10">
        <v>0.12</v>
      </c>
      <c r="H290" s="11" t="s">
        <v>71</v>
      </c>
    </row>
    <row r="291" spans="1:8" ht="14.45" customHeight="1" thickBot="1" x14ac:dyDescent="0.3">
      <c r="A291" s="67" t="str">
        <f t="shared" si="4"/>
        <v>Bioretention Plus Vault0.5Q2DFlatLindbergh</v>
      </c>
      <c r="B291" s="7" t="s">
        <v>70</v>
      </c>
      <c r="C291" s="7" t="s">
        <v>20</v>
      </c>
      <c r="D291" s="7" t="s">
        <v>55</v>
      </c>
      <c r="E291" s="8" t="s">
        <v>24</v>
      </c>
      <c r="F291" s="9">
        <v>0.04</v>
      </c>
      <c r="G291" s="10">
        <v>0.14000000000000001</v>
      </c>
      <c r="H291" s="11" t="s">
        <v>71</v>
      </c>
    </row>
    <row r="292" spans="1:8" ht="14.45" customHeight="1" thickBot="1" x14ac:dyDescent="0.3">
      <c r="A292" s="67" t="str">
        <f t="shared" si="4"/>
        <v>Bioretention Plus Vault0.5Q2DModerateLindbergh</v>
      </c>
      <c r="B292" s="7" t="s">
        <v>70</v>
      </c>
      <c r="C292" s="7" t="s">
        <v>20</v>
      </c>
      <c r="D292" s="8" t="s">
        <v>16</v>
      </c>
      <c r="E292" s="8" t="s">
        <v>24</v>
      </c>
      <c r="F292" s="9">
        <v>0.04</v>
      </c>
      <c r="G292" s="10">
        <v>0.14000000000000001</v>
      </c>
      <c r="H292" s="11" t="s">
        <v>71</v>
      </c>
    </row>
    <row r="293" spans="1:8" ht="14.45" customHeight="1" thickBot="1" x14ac:dyDescent="0.3">
      <c r="A293" s="67" t="str">
        <f t="shared" si="4"/>
        <v>Bioretention Plus Vault0.5Q2DSteepLindbergh</v>
      </c>
      <c r="B293" s="7" t="s">
        <v>70</v>
      </c>
      <c r="C293" s="7" t="s">
        <v>20</v>
      </c>
      <c r="D293" s="7" t="s">
        <v>17</v>
      </c>
      <c r="E293" s="8" t="s">
        <v>24</v>
      </c>
      <c r="F293" s="9">
        <v>0.04</v>
      </c>
      <c r="G293" s="10">
        <v>0.1</v>
      </c>
      <c r="H293" s="11" t="s">
        <v>71</v>
      </c>
    </row>
    <row r="294" spans="1:8" ht="14.45" customHeight="1" thickBot="1" x14ac:dyDescent="0.3">
      <c r="A294" s="67" t="str">
        <f t="shared" si="4"/>
        <v>Bioretention Plus Vault0.5Q2AFlatOceanside</v>
      </c>
      <c r="B294" s="7" t="s">
        <v>70</v>
      </c>
      <c r="C294" s="7" t="s">
        <v>13</v>
      </c>
      <c r="D294" s="7" t="s">
        <v>55</v>
      </c>
      <c r="E294" s="8" t="s">
        <v>23</v>
      </c>
      <c r="F294" s="9" t="s">
        <v>71</v>
      </c>
      <c r="G294" s="9" t="s">
        <v>71</v>
      </c>
      <c r="H294" s="11" t="s">
        <v>71</v>
      </c>
    </row>
    <row r="295" spans="1:8" ht="14.45" customHeight="1" thickBot="1" x14ac:dyDescent="0.3">
      <c r="A295" s="67" t="str">
        <f t="shared" si="4"/>
        <v>Bioretention Plus Vault0.5Q2AModerateOceanside</v>
      </c>
      <c r="B295" s="7" t="s">
        <v>70</v>
      </c>
      <c r="C295" s="7" t="s">
        <v>13</v>
      </c>
      <c r="D295" s="8" t="s">
        <v>16</v>
      </c>
      <c r="E295" s="8" t="s">
        <v>23</v>
      </c>
      <c r="F295" s="9" t="s">
        <v>71</v>
      </c>
      <c r="G295" s="9" t="s">
        <v>71</v>
      </c>
      <c r="H295" s="11" t="s">
        <v>71</v>
      </c>
    </row>
    <row r="296" spans="1:8" ht="14.45" customHeight="1" thickBot="1" x14ac:dyDescent="0.3">
      <c r="A296" s="67" t="str">
        <f t="shared" si="4"/>
        <v>Bioretention Plus Vault0.5Q2ASteepOceanside</v>
      </c>
      <c r="B296" s="7" t="s">
        <v>70</v>
      </c>
      <c r="C296" s="7" t="s">
        <v>13</v>
      </c>
      <c r="D296" s="7" t="s">
        <v>17</v>
      </c>
      <c r="E296" s="8" t="s">
        <v>23</v>
      </c>
      <c r="F296" s="9" t="s">
        <v>71</v>
      </c>
      <c r="G296" s="9" t="s">
        <v>71</v>
      </c>
      <c r="H296" s="11" t="s">
        <v>71</v>
      </c>
    </row>
    <row r="297" spans="1:8" ht="14.45" customHeight="1" thickBot="1" x14ac:dyDescent="0.3">
      <c r="A297" s="67" t="str">
        <f t="shared" si="4"/>
        <v>Bioretention Plus Vault0.5Q2BFlatOceanside</v>
      </c>
      <c r="B297" s="7" t="s">
        <v>70</v>
      </c>
      <c r="C297" s="7" t="s">
        <v>18</v>
      </c>
      <c r="D297" s="7" t="s">
        <v>55</v>
      </c>
      <c r="E297" s="8" t="s">
        <v>23</v>
      </c>
      <c r="F297" s="9">
        <v>0.04</v>
      </c>
      <c r="G297" s="10">
        <v>0.21</v>
      </c>
      <c r="H297" s="11" t="s">
        <v>71</v>
      </c>
    </row>
    <row r="298" spans="1:8" ht="14.45" customHeight="1" thickBot="1" x14ac:dyDescent="0.3">
      <c r="A298" s="67" t="str">
        <f t="shared" si="4"/>
        <v>Bioretention Plus Vault0.5Q2BModerateOceanside</v>
      </c>
      <c r="B298" s="7" t="s">
        <v>70</v>
      </c>
      <c r="C298" s="7" t="s">
        <v>18</v>
      </c>
      <c r="D298" s="8" t="s">
        <v>16</v>
      </c>
      <c r="E298" s="8" t="s">
        <v>23</v>
      </c>
      <c r="F298" s="9">
        <v>0.04</v>
      </c>
      <c r="G298" s="10">
        <v>0.18</v>
      </c>
      <c r="H298" s="11" t="s">
        <v>71</v>
      </c>
    </row>
    <row r="299" spans="1:8" ht="14.45" customHeight="1" thickBot="1" x14ac:dyDescent="0.3">
      <c r="A299" s="67" t="str">
        <f t="shared" si="4"/>
        <v>Bioretention Plus Vault0.5Q2BSteepOceanside</v>
      </c>
      <c r="B299" s="7" t="s">
        <v>70</v>
      </c>
      <c r="C299" s="7" t="s">
        <v>18</v>
      </c>
      <c r="D299" s="7" t="s">
        <v>17</v>
      </c>
      <c r="E299" s="8" t="s">
        <v>23</v>
      </c>
      <c r="F299" s="9">
        <v>0.04</v>
      </c>
      <c r="G299" s="10">
        <v>0.14000000000000001</v>
      </c>
      <c r="H299" s="11" t="s">
        <v>71</v>
      </c>
    </row>
    <row r="300" spans="1:8" ht="14.45" customHeight="1" thickBot="1" x14ac:dyDescent="0.3">
      <c r="A300" s="67" t="str">
        <f t="shared" si="4"/>
        <v>Bioretention Plus Vault0.5Q2CFlatOceanside</v>
      </c>
      <c r="B300" s="7" t="s">
        <v>70</v>
      </c>
      <c r="C300" s="7" t="s">
        <v>19</v>
      </c>
      <c r="D300" s="7" t="s">
        <v>55</v>
      </c>
      <c r="E300" s="8" t="s">
        <v>23</v>
      </c>
      <c r="F300" s="9">
        <v>0.04</v>
      </c>
      <c r="G300" s="10">
        <v>0.14000000000000001</v>
      </c>
      <c r="H300" s="11" t="s">
        <v>71</v>
      </c>
    </row>
    <row r="301" spans="1:8" ht="14.45" customHeight="1" thickBot="1" x14ac:dyDescent="0.3">
      <c r="A301" s="67" t="str">
        <f t="shared" si="4"/>
        <v>Bioretention Plus Vault0.5Q2CModerateOceanside</v>
      </c>
      <c r="B301" s="7" t="s">
        <v>70</v>
      </c>
      <c r="C301" s="7" t="s">
        <v>19</v>
      </c>
      <c r="D301" s="8" t="s">
        <v>16</v>
      </c>
      <c r="E301" s="8" t="s">
        <v>23</v>
      </c>
      <c r="F301" s="9">
        <v>0.04</v>
      </c>
      <c r="G301" s="10">
        <v>0.14000000000000001</v>
      </c>
      <c r="H301" s="11" t="s">
        <v>71</v>
      </c>
    </row>
    <row r="302" spans="1:8" ht="14.45" customHeight="1" thickBot="1" x14ac:dyDescent="0.3">
      <c r="A302" s="67" t="str">
        <f t="shared" si="4"/>
        <v>Bioretention Plus Vault0.5Q2CSteepOceanside</v>
      </c>
      <c r="B302" s="7" t="s">
        <v>70</v>
      </c>
      <c r="C302" s="7" t="s">
        <v>19</v>
      </c>
      <c r="D302" s="7" t="s">
        <v>17</v>
      </c>
      <c r="E302" s="8" t="s">
        <v>23</v>
      </c>
      <c r="F302" s="9">
        <v>0.04</v>
      </c>
      <c r="G302" s="10">
        <v>0.12</v>
      </c>
      <c r="H302" s="11" t="s">
        <v>71</v>
      </c>
    </row>
    <row r="303" spans="1:8" ht="14.45" customHeight="1" thickBot="1" x14ac:dyDescent="0.3">
      <c r="A303" s="67" t="str">
        <f t="shared" si="4"/>
        <v>Bioretention Plus Vault0.5Q2DFlatOceanside</v>
      </c>
      <c r="B303" s="7" t="s">
        <v>70</v>
      </c>
      <c r="C303" s="7" t="s">
        <v>20</v>
      </c>
      <c r="D303" s="7" t="s">
        <v>55</v>
      </c>
      <c r="E303" s="8" t="s">
        <v>23</v>
      </c>
      <c r="F303" s="9">
        <v>0.04</v>
      </c>
      <c r="G303" s="10">
        <v>0.14000000000000001</v>
      </c>
      <c r="H303" s="11" t="s">
        <v>71</v>
      </c>
    </row>
    <row r="304" spans="1:8" ht="14.45" customHeight="1" thickBot="1" x14ac:dyDescent="0.3">
      <c r="A304" s="67" t="str">
        <f t="shared" si="4"/>
        <v>Bioretention Plus Vault0.5Q2DModerateOceanside</v>
      </c>
      <c r="B304" s="7" t="s">
        <v>70</v>
      </c>
      <c r="C304" s="7" t="s">
        <v>20</v>
      </c>
      <c r="D304" s="8" t="s">
        <v>16</v>
      </c>
      <c r="E304" s="8" t="s">
        <v>23</v>
      </c>
      <c r="F304" s="9">
        <v>0.04</v>
      </c>
      <c r="G304" s="10">
        <v>0.14000000000000001</v>
      </c>
      <c r="H304" s="11" t="s">
        <v>71</v>
      </c>
    </row>
    <row r="305" spans="1:8" ht="14.45" customHeight="1" thickBot="1" x14ac:dyDescent="0.3">
      <c r="A305" s="67" t="str">
        <f t="shared" si="4"/>
        <v>Bioretention Plus Vault0.5Q2DSteepOceanside</v>
      </c>
      <c r="B305" s="7" t="s">
        <v>70</v>
      </c>
      <c r="C305" s="7" t="s">
        <v>20</v>
      </c>
      <c r="D305" s="7" t="s">
        <v>17</v>
      </c>
      <c r="E305" s="8" t="s">
        <v>23</v>
      </c>
      <c r="F305" s="9">
        <v>0.04</v>
      </c>
      <c r="G305" s="10">
        <v>0.12</v>
      </c>
      <c r="H305" s="11" t="s">
        <v>71</v>
      </c>
    </row>
    <row r="306" spans="1:8" ht="14.45" customHeight="1" thickBot="1" x14ac:dyDescent="0.3">
      <c r="A306" s="67" t="str">
        <f t="shared" si="4"/>
        <v>Bioretention Plus Vault0.5Q2AFlatLake Wohlford</v>
      </c>
      <c r="B306" s="7" t="s">
        <v>70</v>
      </c>
      <c r="C306" s="7" t="s">
        <v>13</v>
      </c>
      <c r="D306" s="7" t="s">
        <v>55</v>
      </c>
      <c r="E306" s="7" t="s">
        <v>12</v>
      </c>
      <c r="F306" s="9" t="s">
        <v>71</v>
      </c>
      <c r="G306" s="9" t="s">
        <v>71</v>
      </c>
      <c r="H306" s="11" t="s">
        <v>71</v>
      </c>
    </row>
    <row r="307" spans="1:8" ht="14.45" customHeight="1" thickBot="1" x14ac:dyDescent="0.3">
      <c r="A307" s="67" t="str">
        <f t="shared" si="4"/>
        <v>Bioretention Plus Vault0.5Q2AModerateLake Wohlford</v>
      </c>
      <c r="B307" s="7" t="s">
        <v>70</v>
      </c>
      <c r="C307" s="7" t="s">
        <v>13</v>
      </c>
      <c r="D307" s="8" t="s">
        <v>16</v>
      </c>
      <c r="E307" s="7" t="s">
        <v>12</v>
      </c>
      <c r="F307" s="9" t="s">
        <v>71</v>
      </c>
      <c r="G307" s="9" t="s">
        <v>71</v>
      </c>
      <c r="H307" s="11" t="s">
        <v>71</v>
      </c>
    </row>
    <row r="308" spans="1:8" ht="14.45" customHeight="1" thickBot="1" x14ac:dyDescent="0.3">
      <c r="A308" s="67" t="str">
        <f t="shared" si="4"/>
        <v>Bioretention Plus Vault0.5Q2ASteepLake Wohlford</v>
      </c>
      <c r="B308" s="7" t="s">
        <v>70</v>
      </c>
      <c r="C308" s="7" t="s">
        <v>13</v>
      </c>
      <c r="D308" s="7" t="s">
        <v>17</v>
      </c>
      <c r="E308" s="7" t="s">
        <v>12</v>
      </c>
      <c r="F308" s="9" t="s">
        <v>71</v>
      </c>
      <c r="G308" s="9" t="s">
        <v>71</v>
      </c>
      <c r="H308" s="11" t="s">
        <v>71</v>
      </c>
    </row>
    <row r="309" spans="1:8" ht="14.45" customHeight="1" thickBot="1" x14ac:dyDescent="0.3">
      <c r="A309" s="67" t="str">
        <f t="shared" si="4"/>
        <v>Bioretention Plus Vault0.5Q2BFlatLake Wohlford</v>
      </c>
      <c r="B309" s="7" t="s">
        <v>70</v>
      </c>
      <c r="C309" s="7" t="s">
        <v>18</v>
      </c>
      <c r="D309" s="7" t="s">
        <v>55</v>
      </c>
      <c r="E309" s="7" t="s">
        <v>12</v>
      </c>
      <c r="F309" s="9">
        <v>0.04</v>
      </c>
      <c r="G309" s="10">
        <v>0.26</v>
      </c>
      <c r="H309" s="11" t="s">
        <v>71</v>
      </c>
    </row>
    <row r="310" spans="1:8" ht="14.45" customHeight="1" thickBot="1" x14ac:dyDescent="0.3">
      <c r="A310" s="67" t="str">
        <f t="shared" si="4"/>
        <v>Bioretention Plus Vault0.5Q2BModerateLake Wohlford</v>
      </c>
      <c r="B310" s="7" t="s">
        <v>70</v>
      </c>
      <c r="C310" s="7" t="s">
        <v>18</v>
      </c>
      <c r="D310" s="8" t="s">
        <v>16</v>
      </c>
      <c r="E310" s="7" t="s">
        <v>12</v>
      </c>
      <c r="F310" s="9">
        <v>0.04</v>
      </c>
      <c r="G310" s="10">
        <v>0.22</v>
      </c>
      <c r="H310" s="11" t="s">
        <v>71</v>
      </c>
    </row>
    <row r="311" spans="1:8" ht="14.45" customHeight="1" thickBot="1" x14ac:dyDescent="0.3">
      <c r="A311" s="67" t="str">
        <f t="shared" si="4"/>
        <v>Bioretention Plus Vault0.5Q2BSteepLake Wohlford</v>
      </c>
      <c r="B311" s="7" t="s">
        <v>70</v>
      </c>
      <c r="C311" s="7" t="s">
        <v>18</v>
      </c>
      <c r="D311" s="7" t="s">
        <v>17</v>
      </c>
      <c r="E311" s="7" t="s">
        <v>12</v>
      </c>
      <c r="F311" s="9">
        <v>0.04</v>
      </c>
      <c r="G311" s="10">
        <v>0.12</v>
      </c>
      <c r="H311" s="11" t="s">
        <v>71</v>
      </c>
    </row>
    <row r="312" spans="1:8" ht="14.45" customHeight="1" thickBot="1" x14ac:dyDescent="0.3">
      <c r="A312" s="67" t="str">
        <f t="shared" si="4"/>
        <v>Bioretention Plus Vault0.5Q2CFlatLake Wohlford</v>
      </c>
      <c r="B312" s="7" t="s">
        <v>70</v>
      </c>
      <c r="C312" s="7" t="s">
        <v>19</v>
      </c>
      <c r="D312" s="7" t="s">
        <v>55</v>
      </c>
      <c r="E312" s="7" t="s">
        <v>12</v>
      </c>
      <c r="F312" s="9">
        <v>0.04</v>
      </c>
      <c r="G312" s="10">
        <v>0.14000000000000001</v>
      </c>
      <c r="H312" s="11" t="s">
        <v>71</v>
      </c>
    </row>
    <row r="313" spans="1:8" ht="14.45" customHeight="1" thickBot="1" x14ac:dyDescent="0.3">
      <c r="A313" s="67" t="str">
        <f t="shared" si="4"/>
        <v>Bioretention Plus Vault0.5Q2CModerateLake Wohlford</v>
      </c>
      <c r="B313" s="7" t="s">
        <v>70</v>
      </c>
      <c r="C313" s="7" t="s">
        <v>19</v>
      </c>
      <c r="D313" s="8" t="s">
        <v>16</v>
      </c>
      <c r="E313" s="7" t="s">
        <v>12</v>
      </c>
      <c r="F313" s="9">
        <v>0.04</v>
      </c>
      <c r="G313" s="10">
        <v>0.14000000000000001</v>
      </c>
      <c r="H313" s="11" t="s">
        <v>71</v>
      </c>
    </row>
    <row r="314" spans="1:8" ht="14.45" customHeight="1" thickBot="1" x14ac:dyDescent="0.3">
      <c r="A314" s="67" t="str">
        <f t="shared" si="4"/>
        <v>Bioretention Plus Vault0.5Q2CSteepLake Wohlford</v>
      </c>
      <c r="B314" s="7" t="s">
        <v>70</v>
      </c>
      <c r="C314" s="7" t="s">
        <v>19</v>
      </c>
      <c r="D314" s="7" t="s">
        <v>17</v>
      </c>
      <c r="E314" s="7" t="s">
        <v>12</v>
      </c>
      <c r="F314" s="9">
        <v>0.04</v>
      </c>
      <c r="G314" s="10">
        <v>0.1</v>
      </c>
      <c r="H314" s="11" t="s">
        <v>71</v>
      </c>
    </row>
    <row r="315" spans="1:8" ht="14.45" customHeight="1" thickBot="1" x14ac:dyDescent="0.3">
      <c r="A315" s="67" t="str">
        <f t="shared" si="4"/>
        <v>Bioretention Plus Vault0.5Q2DFlatLake Wohlford</v>
      </c>
      <c r="B315" s="7" t="s">
        <v>70</v>
      </c>
      <c r="C315" s="7" t="s">
        <v>20</v>
      </c>
      <c r="D315" s="7" t="s">
        <v>55</v>
      </c>
      <c r="E315" s="7" t="s">
        <v>12</v>
      </c>
      <c r="F315" s="9">
        <v>0.04</v>
      </c>
      <c r="G315" s="10">
        <v>0.12</v>
      </c>
      <c r="H315" s="11" t="s">
        <v>71</v>
      </c>
    </row>
    <row r="316" spans="1:8" ht="14.45" customHeight="1" thickBot="1" x14ac:dyDescent="0.3">
      <c r="A316" s="67" t="str">
        <f t="shared" si="4"/>
        <v>Bioretention Plus Vault0.5Q2DModerateLake Wohlford</v>
      </c>
      <c r="B316" s="7" t="s">
        <v>70</v>
      </c>
      <c r="C316" s="7" t="s">
        <v>20</v>
      </c>
      <c r="D316" s="8" t="s">
        <v>16</v>
      </c>
      <c r="E316" s="7" t="s">
        <v>12</v>
      </c>
      <c r="F316" s="9">
        <v>0.04</v>
      </c>
      <c r="G316" s="10">
        <v>0.12</v>
      </c>
      <c r="H316" s="11" t="s">
        <v>71</v>
      </c>
    </row>
    <row r="317" spans="1:8" ht="14.45" customHeight="1" thickBot="1" x14ac:dyDescent="0.3">
      <c r="A317" s="67" t="str">
        <f t="shared" si="4"/>
        <v>Bioretention Plus Vault0.5Q2DSteepLake Wohlford</v>
      </c>
      <c r="B317" s="7" t="s">
        <v>70</v>
      </c>
      <c r="C317" s="7" t="s">
        <v>20</v>
      </c>
      <c r="D317" s="7" t="s">
        <v>17</v>
      </c>
      <c r="E317" s="7" t="s">
        <v>12</v>
      </c>
      <c r="F317" s="9">
        <v>0.04</v>
      </c>
      <c r="G317" s="10">
        <v>0.08</v>
      </c>
      <c r="H317" s="11" t="s">
        <v>71</v>
      </c>
    </row>
    <row r="318" spans="1:8" ht="14.45" customHeight="1" thickBot="1" x14ac:dyDescent="0.3">
      <c r="A318" s="67" t="str">
        <f t="shared" si="4"/>
        <v>Bioretention Plus Vault0.3Q2AFlatLindbergh</v>
      </c>
      <c r="B318" s="7" t="s">
        <v>72</v>
      </c>
      <c r="C318" s="7" t="s">
        <v>13</v>
      </c>
      <c r="D318" s="7" t="s">
        <v>55</v>
      </c>
      <c r="E318" s="8" t="s">
        <v>24</v>
      </c>
      <c r="F318" s="9" t="s">
        <v>71</v>
      </c>
      <c r="G318" s="9" t="s">
        <v>71</v>
      </c>
      <c r="H318" s="11" t="s">
        <v>71</v>
      </c>
    </row>
    <row r="319" spans="1:8" ht="14.45" customHeight="1" thickBot="1" x14ac:dyDescent="0.3">
      <c r="A319" s="67" t="str">
        <f t="shared" si="4"/>
        <v>Bioretention Plus Vault0.3Q2AModerateLindbergh</v>
      </c>
      <c r="B319" s="7" t="s">
        <v>72</v>
      </c>
      <c r="C319" s="7" t="s">
        <v>13</v>
      </c>
      <c r="D319" s="8" t="s">
        <v>16</v>
      </c>
      <c r="E319" s="8" t="s">
        <v>24</v>
      </c>
      <c r="F319" s="9" t="s">
        <v>71</v>
      </c>
      <c r="G319" s="9" t="s">
        <v>71</v>
      </c>
      <c r="H319" s="11" t="s">
        <v>71</v>
      </c>
    </row>
    <row r="320" spans="1:8" ht="14.45" customHeight="1" thickBot="1" x14ac:dyDescent="0.3">
      <c r="A320" s="67" t="str">
        <f t="shared" si="4"/>
        <v>Bioretention Plus Vault0.3Q2ASteepLindbergh</v>
      </c>
      <c r="B320" s="7" t="s">
        <v>72</v>
      </c>
      <c r="C320" s="7" t="s">
        <v>13</v>
      </c>
      <c r="D320" s="7" t="s">
        <v>17</v>
      </c>
      <c r="E320" s="8" t="s">
        <v>24</v>
      </c>
      <c r="F320" s="9" t="s">
        <v>71</v>
      </c>
      <c r="G320" s="9" t="s">
        <v>71</v>
      </c>
      <c r="H320" s="11" t="s">
        <v>71</v>
      </c>
    </row>
    <row r="321" spans="1:8" ht="14.45" customHeight="1" thickBot="1" x14ac:dyDescent="0.3">
      <c r="A321" s="67" t="str">
        <f t="shared" si="4"/>
        <v>Bioretention Plus Vault0.3Q2BFlatLindbergh</v>
      </c>
      <c r="B321" s="7" t="s">
        <v>72</v>
      </c>
      <c r="C321" s="7" t="s">
        <v>18</v>
      </c>
      <c r="D321" s="7" t="s">
        <v>55</v>
      </c>
      <c r="E321" s="8" t="s">
        <v>24</v>
      </c>
      <c r="F321" s="9">
        <v>0.04</v>
      </c>
      <c r="G321" s="10">
        <v>0.45</v>
      </c>
      <c r="H321" s="11" t="s">
        <v>71</v>
      </c>
    </row>
    <row r="322" spans="1:8" ht="14.45" customHeight="1" thickBot="1" x14ac:dyDescent="0.3">
      <c r="A322" s="67" t="str">
        <f t="shared" si="4"/>
        <v>Bioretention Plus Vault0.3Q2BModerateLindbergh</v>
      </c>
      <c r="B322" s="7" t="s">
        <v>72</v>
      </c>
      <c r="C322" s="7" t="s">
        <v>18</v>
      </c>
      <c r="D322" s="8" t="s">
        <v>16</v>
      </c>
      <c r="E322" s="8" t="s">
        <v>24</v>
      </c>
      <c r="F322" s="9">
        <v>0.04</v>
      </c>
      <c r="G322" s="10">
        <v>0.32</v>
      </c>
      <c r="H322" s="11" t="s">
        <v>71</v>
      </c>
    </row>
    <row r="323" spans="1:8" ht="14.45" customHeight="1" thickBot="1" x14ac:dyDescent="0.3">
      <c r="A323" s="67" t="str">
        <f t="shared" si="4"/>
        <v>Bioretention Plus Vault0.3Q2BSteepLindbergh</v>
      </c>
      <c r="B323" s="7" t="s">
        <v>72</v>
      </c>
      <c r="C323" s="7" t="s">
        <v>18</v>
      </c>
      <c r="D323" s="7" t="s">
        <v>17</v>
      </c>
      <c r="E323" s="8" t="s">
        <v>24</v>
      </c>
      <c r="F323" s="9">
        <v>0.04</v>
      </c>
      <c r="G323" s="10">
        <v>0.18</v>
      </c>
      <c r="H323" s="11" t="s">
        <v>71</v>
      </c>
    </row>
    <row r="324" spans="1:8" ht="14.45" customHeight="1" thickBot="1" x14ac:dyDescent="0.3">
      <c r="A324" s="67" t="str">
        <f t="shared" si="4"/>
        <v>Bioretention Plus Vault0.3Q2CFlatLindbergh</v>
      </c>
      <c r="B324" s="7" t="s">
        <v>72</v>
      </c>
      <c r="C324" s="7" t="s">
        <v>19</v>
      </c>
      <c r="D324" s="7" t="s">
        <v>55</v>
      </c>
      <c r="E324" s="8" t="s">
        <v>24</v>
      </c>
      <c r="F324" s="9">
        <v>0.04</v>
      </c>
      <c r="G324" s="10">
        <v>0.18</v>
      </c>
      <c r="H324" s="11" t="s">
        <v>71</v>
      </c>
    </row>
    <row r="325" spans="1:8" ht="14.45" customHeight="1" thickBot="1" x14ac:dyDescent="0.3">
      <c r="A325" s="67" t="str">
        <f t="shared" si="4"/>
        <v>Bioretention Plus Vault0.3Q2CModerateLindbergh</v>
      </c>
      <c r="B325" s="7" t="s">
        <v>72</v>
      </c>
      <c r="C325" s="7" t="s">
        <v>19</v>
      </c>
      <c r="D325" s="8" t="s">
        <v>16</v>
      </c>
      <c r="E325" s="8" t="s">
        <v>24</v>
      </c>
      <c r="F325" s="9">
        <v>0.04</v>
      </c>
      <c r="G325" s="10">
        <v>0.18</v>
      </c>
      <c r="H325" s="11" t="s">
        <v>71</v>
      </c>
    </row>
    <row r="326" spans="1:8" ht="14.45" customHeight="1" thickBot="1" x14ac:dyDescent="0.3">
      <c r="A326" s="67" t="str">
        <f t="shared" si="4"/>
        <v>Bioretention Plus Vault0.3Q2CSteepLindbergh</v>
      </c>
      <c r="B326" s="7" t="s">
        <v>72</v>
      </c>
      <c r="C326" s="7" t="s">
        <v>19</v>
      </c>
      <c r="D326" s="7" t="s">
        <v>17</v>
      </c>
      <c r="E326" s="8" t="s">
        <v>24</v>
      </c>
      <c r="F326" s="9">
        <v>0.04</v>
      </c>
      <c r="G326" s="10">
        <v>0.14000000000000001</v>
      </c>
      <c r="H326" s="11" t="s">
        <v>71</v>
      </c>
    </row>
    <row r="327" spans="1:8" ht="14.45" customHeight="1" thickBot="1" x14ac:dyDescent="0.3">
      <c r="A327" s="67" t="str">
        <f t="shared" si="4"/>
        <v>Bioretention Plus Vault0.3Q2DFlatLindbergh</v>
      </c>
      <c r="B327" s="7" t="s">
        <v>72</v>
      </c>
      <c r="C327" s="7" t="s">
        <v>20</v>
      </c>
      <c r="D327" s="7" t="s">
        <v>55</v>
      </c>
      <c r="E327" s="8" t="s">
        <v>24</v>
      </c>
      <c r="F327" s="9">
        <v>0.04</v>
      </c>
      <c r="G327" s="10">
        <v>0.16</v>
      </c>
      <c r="H327" s="11" t="s">
        <v>71</v>
      </c>
    </row>
    <row r="328" spans="1:8" ht="14.45" customHeight="1" thickBot="1" x14ac:dyDescent="0.3">
      <c r="A328" s="67" t="str">
        <f t="shared" si="4"/>
        <v>Bioretention Plus Vault0.3Q2DModerateLindbergh</v>
      </c>
      <c r="B328" s="7" t="s">
        <v>72</v>
      </c>
      <c r="C328" s="7" t="s">
        <v>20</v>
      </c>
      <c r="D328" s="8" t="s">
        <v>16</v>
      </c>
      <c r="E328" s="8" t="s">
        <v>24</v>
      </c>
      <c r="F328" s="9">
        <v>0.04</v>
      </c>
      <c r="G328" s="10">
        <v>0.16</v>
      </c>
      <c r="H328" s="11" t="s">
        <v>71</v>
      </c>
    </row>
    <row r="329" spans="1:8" ht="14.45" customHeight="1" thickBot="1" x14ac:dyDescent="0.3">
      <c r="A329" s="67" t="str">
        <f t="shared" si="4"/>
        <v>Bioretention Plus Vault0.3Q2DSteepLindbergh</v>
      </c>
      <c r="B329" s="7" t="s">
        <v>72</v>
      </c>
      <c r="C329" s="7" t="s">
        <v>20</v>
      </c>
      <c r="D329" s="7" t="s">
        <v>17</v>
      </c>
      <c r="E329" s="8" t="s">
        <v>24</v>
      </c>
      <c r="F329" s="9">
        <v>0.04</v>
      </c>
      <c r="G329" s="10">
        <v>0.12</v>
      </c>
      <c r="H329" s="11" t="s">
        <v>71</v>
      </c>
    </row>
    <row r="330" spans="1:8" ht="14.45" customHeight="1" thickBot="1" x14ac:dyDescent="0.3">
      <c r="A330" s="67" t="str">
        <f t="shared" si="4"/>
        <v>Bioretention Plus Vault0.3Q2AFlatOceanside</v>
      </c>
      <c r="B330" s="7" t="s">
        <v>72</v>
      </c>
      <c r="C330" s="7" t="s">
        <v>13</v>
      </c>
      <c r="D330" s="7" t="s">
        <v>55</v>
      </c>
      <c r="E330" s="8" t="s">
        <v>23</v>
      </c>
      <c r="F330" s="9" t="s">
        <v>71</v>
      </c>
      <c r="G330" s="9" t="s">
        <v>71</v>
      </c>
      <c r="H330" s="11" t="s">
        <v>71</v>
      </c>
    </row>
    <row r="331" spans="1:8" ht="14.45" customHeight="1" thickBot="1" x14ac:dyDescent="0.3">
      <c r="A331" s="67" t="str">
        <f t="shared" si="4"/>
        <v>Bioretention Plus Vault0.3Q2AModerateOceanside</v>
      </c>
      <c r="B331" s="7" t="s">
        <v>72</v>
      </c>
      <c r="C331" s="7" t="s">
        <v>13</v>
      </c>
      <c r="D331" s="8" t="s">
        <v>16</v>
      </c>
      <c r="E331" s="8" t="s">
        <v>23</v>
      </c>
      <c r="F331" s="9" t="s">
        <v>71</v>
      </c>
      <c r="G331" s="9" t="s">
        <v>71</v>
      </c>
      <c r="H331" s="11" t="s">
        <v>71</v>
      </c>
    </row>
    <row r="332" spans="1:8" ht="14.45" customHeight="1" thickBot="1" x14ac:dyDescent="0.3">
      <c r="A332" s="67" t="str">
        <f t="shared" si="4"/>
        <v>Bioretention Plus Vault0.3Q2ASteepOceanside</v>
      </c>
      <c r="B332" s="7" t="s">
        <v>72</v>
      </c>
      <c r="C332" s="7" t="s">
        <v>13</v>
      </c>
      <c r="D332" s="7" t="s">
        <v>17</v>
      </c>
      <c r="E332" s="8" t="s">
        <v>23</v>
      </c>
      <c r="F332" s="9" t="s">
        <v>71</v>
      </c>
      <c r="G332" s="9" t="s">
        <v>71</v>
      </c>
      <c r="H332" s="11" t="s">
        <v>71</v>
      </c>
    </row>
    <row r="333" spans="1:8" ht="14.45" customHeight="1" thickBot="1" x14ac:dyDescent="0.3">
      <c r="A333" s="67" t="str">
        <f t="shared" si="4"/>
        <v>Bioretention Plus Vault0.3Q2BFlatOceanside</v>
      </c>
      <c r="B333" s="7" t="s">
        <v>72</v>
      </c>
      <c r="C333" s="7" t="s">
        <v>18</v>
      </c>
      <c r="D333" s="7" t="s">
        <v>55</v>
      </c>
      <c r="E333" s="8" t="s">
        <v>23</v>
      </c>
      <c r="F333" s="9">
        <v>0.04</v>
      </c>
      <c r="G333" s="10">
        <v>0.25</v>
      </c>
      <c r="H333" s="11" t="s">
        <v>71</v>
      </c>
    </row>
    <row r="334" spans="1:8" ht="14.45" customHeight="1" thickBot="1" x14ac:dyDescent="0.3">
      <c r="A334" s="67" t="str">
        <f t="shared" si="4"/>
        <v>Bioretention Plus Vault0.3Q2BModerateOceanside</v>
      </c>
      <c r="B334" s="7" t="s">
        <v>72</v>
      </c>
      <c r="C334" s="7" t="s">
        <v>18</v>
      </c>
      <c r="D334" s="8" t="s">
        <v>16</v>
      </c>
      <c r="E334" s="8" t="s">
        <v>23</v>
      </c>
      <c r="F334" s="9">
        <v>0.04</v>
      </c>
      <c r="G334" s="10">
        <v>0.2</v>
      </c>
      <c r="H334" s="11" t="s">
        <v>71</v>
      </c>
    </row>
    <row r="335" spans="1:8" ht="14.45" customHeight="1" thickBot="1" x14ac:dyDescent="0.3">
      <c r="A335" s="67" t="str">
        <f t="shared" si="4"/>
        <v>Bioretention Plus Vault0.3Q2BSteepOceanside</v>
      </c>
      <c r="B335" s="7" t="s">
        <v>72</v>
      </c>
      <c r="C335" s="7" t="s">
        <v>18</v>
      </c>
      <c r="D335" s="7" t="s">
        <v>17</v>
      </c>
      <c r="E335" s="8" t="s">
        <v>23</v>
      </c>
      <c r="F335" s="9">
        <v>0.04</v>
      </c>
      <c r="G335" s="10">
        <v>0.16</v>
      </c>
      <c r="H335" s="11" t="s">
        <v>71</v>
      </c>
    </row>
    <row r="336" spans="1:8" ht="14.45" customHeight="1" thickBot="1" x14ac:dyDescent="0.3">
      <c r="A336" s="67" t="str">
        <f t="shared" si="4"/>
        <v>Bioretention Plus Vault0.3Q2CFlatOceanside</v>
      </c>
      <c r="B336" s="7" t="s">
        <v>72</v>
      </c>
      <c r="C336" s="7" t="s">
        <v>19</v>
      </c>
      <c r="D336" s="7" t="s">
        <v>55</v>
      </c>
      <c r="E336" s="8" t="s">
        <v>23</v>
      </c>
      <c r="F336" s="9">
        <v>0.04</v>
      </c>
      <c r="G336" s="10">
        <v>0.16</v>
      </c>
      <c r="H336" s="11" t="s">
        <v>71</v>
      </c>
    </row>
    <row r="337" spans="1:8" ht="14.45" customHeight="1" thickBot="1" x14ac:dyDescent="0.3">
      <c r="A337" s="67" t="str">
        <f t="shared" si="4"/>
        <v>Bioretention Plus Vault0.3Q2CModerateOceanside</v>
      </c>
      <c r="B337" s="7" t="s">
        <v>72</v>
      </c>
      <c r="C337" s="7" t="s">
        <v>19</v>
      </c>
      <c r="D337" s="8" t="s">
        <v>16</v>
      </c>
      <c r="E337" s="8" t="s">
        <v>23</v>
      </c>
      <c r="F337" s="9">
        <v>0.04</v>
      </c>
      <c r="G337" s="10">
        <v>0.16</v>
      </c>
      <c r="H337" s="11" t="s">
        <v>71</v>
      </c>
    </row>
    <row r="338" spans="1:8" ht="14.45" customHeight="1" thickBot="1" x14ac:dyDescent="0.3">
      <c r="A338" s="67" t="str">
        <f t="shared" si="4"/>
        <v>Bioretention Plus Vault0.3Q2CSteepOceanside</v>
      </c>
      <c r="B338" s="7" t="s">
        <v>72</v>
      </c>
      <c r="C338" s="7" t="s">
        <v>19</v>
      </c>
      <c r="D338" s="7" t="s">
        <v>17</v>
      </c>
      <c r="E338" s="8" t="s">
        <v>23</v>
      </c>
      <c r="F338" s="9">
        <v>0.04</v>
      </c>
      <c r="G338" s="10">
        <v>0.14000000000000001</v>
      </c>
      <c r="H338" s="11" t="s">
        <v>71</v>
      </c>
    </row>
    <row r="339" spans="1:8" ht="14.45" customHeight="1" thickBot="1" x14ac:dyDescent="0.3">
      <c r="A339" s="67" t="str">
        <f t="shared" si="4"/>
        <v>Bioretention Plus Vault0.3Q2DFlatOceanside</v>
      </c>
      <c r="B339" s="7" t="s">
        <v>72</v>
      </c>
      <c r="C339" s="7" t="s">
        <v>20</v>
      </c>
      <c r="D339" s="7" t="s">
        <v>55</v>
      </c>
      <c r="E339" s="8" t="s">
        <v>23</v>
      </c>
      <c r="F339" s="9">
        <v>0.04</v>
      </c>
      <c r="G339" s="10">
        <v>0.14000000000000001</v>
      </c>
      <c r="H339" s="11" t="s">
        <v>71</v>
      </c>
    </row>
    <row r="340" spans="1:8" ht="14.45" customHeight="1" thickBot="1" x14ac:dyDescent="0.3">
      <c r="A340" s="67" t="str">
        <f t="shared" si="4"/>
        <v>Bioretention Plus Vault0.3Q2DModerateOceanside</v>
      </c>
      <c r="B340" s="7" t="s">
        <v>72</v>
      </c>
      <c r="C340" s="7" t="s">
        <v>20</v>
      </c>
      <c r="D340" s="8" t="s">
        <v>16</v>
      </c>
      <c r="E340" s="8" t="s">
        <v>23</v>
      </c>
      <c r="F340" s="9">
        <v>0.04</v>
      </c>
      <c r="G340" s="10">
        <v>0.14000000000000001</v>
      </c>
      <c r="H340" s="11" t="s">
        <v>71</v>
      </c>
    </row>
    <row r="341" spans="1:8" ht="14.45" customHeight="1" thickBot="1" x14ac:dyDescent="0.3">
      <c r="A341" s="67" t="str">
        <f t="shared" si="4"/>
        <v>Bioretention Plus Vault0.3Q2DSteepOceanside</v>
      </c>
      <c r="B341" s="7" t="s">
        <v>72</v>
      </c>
      <c r="C341" s="7" t="s">
        <v>20</v>
      </c>
      <c r="D341" s="7" t="s">
        <v>17</v>
      </c>
      <c r="E341" s="8" t="s">
        <v>23</v>
      </c>
      <c r="F341" s="9">
        <v>0.04</v>
      </c>
      <c r="G341" s="10">
        <v>0.12</v>
      </c>
      <c r="H341" s="11" t="s">
        <v>71</v>
      </c>
    </row>
    <row r="342" spans="1:8" ht="14.45" customHeight="1" thickBot="1" x14ac:dyDescent="0.3">
      <c r="A342" s="67" t="str">
        <f t="shared" si="4"/>
        <v>Bioretention Plus Vault0.3Q2AFlatLake Wohlford</v>
      </c>
      <c r="B342" s="7" t="s">
        <v>72</v>
      </c>
      <c r="C342" s="7" t="s">
        <v>13</v>
      </c>
      <c r="D342" s="7" t="s">
        <v>55</v>
      </c>
      <c r="E342" s="7" t="s">
        <v>12</v>
      </c>
      <c r="F342" s="9" t="s">
        <v>71</v>
      </c>
      <c r="G342" s="9" t="s">
        <v>71</v>
      </c>
      <c r="H342" s="11" t="s">
        <v>71</v>
      </c>
    </row>
    <row r="343" spans="1:8" ht="14.45" customHeight="1" thickBot="1" x14ac:dyDescent="0.3">
      <c r="A343" s="67" t="str">
        <f t="shared" si="4"/>
        <v>Bioretention Plus Vault0.3Q2AModerateLake Wohlford</v>
      </c>
      <c r="B343" s="7" t="s">
        <v>72</v>
      </c>
      <c r="C343" s="7" t="s">
        <v>13</v>
      </c>
      <c r="D343" s="8" t="s">
        <v>16</v>
      </c>
      <c r="E343" s="7" t="s">
        <v>12</v>
      </c>
      <c r="F343" s="9" t="s">
        <v>71</v>
      </c>
      <c r="G343" s="9" t="s">
        <v>71</v>
      </c>
      <c r="H343" s="11" t="s">
        <v>71</v>
      </c>
    </row>
    <row r="344" spans="1:8" ht="14.45" customHeight="1" thickBot="1" x14ac:dyDescent="0.3">
      <c r="A344" s="67" t="str">
        <f t="shared" si="4"/>
        <v>Bioretention Plus Vault0.3Q2ASteepLake Wohlford</v>
      </c>
      <c r="B344" s="7" t="s">
        <v>72</v>
      </c>
      <c r="C344" s="7" t="s">
        <v>13</v>
      </c>
      <c r="D344" s="7" t="s">
        <v>17</v>
      </c>
      <c r="E344" s="7" t="s">
        <v>12</v>
      </c>
      <c r="F344" s="9" t="s">
        <v>71</v>
      </c>
      <c r="G344" s="9" t="s">
        <v>71</v>
      </c>
      <c r="H344" s="11" t="s">
        <v>71</v>
      </c>
    </row>
    <row r="345" spans="1:8" ht="14.45" customHeight="1" thickBot="1" x14ac:dyDescent="0.3">
      <c r="A345" s="67" t="str">
        <f t="shared" si="4"/>
        <v>Bioretention Plus Vault0.3Q2BFlatLake Wohlford</v>
      </c>
      <c r="B345" s="7" t="s">
        <v>72</v>
      </c>
      <c r="C345" s="7" t="s">
        <v>18</v>
      </c>
      <c r="D345" s="7" t="s">
        <v>55</v>
      </c>
      <c r="E345" s="7" t="s">
        <v>12</v>
      </c>
      <c r="F345" s="9">
        <v>0.04</v>
      </c>
      <c r="G345" s="10">
        <v>0.28999999999999998</v>
      </c>
      <c r="H345" s="11" t="s">
        <v>71</v>
      </c>
    </row>
    <row r="346" spans="1:8" ht="14.45" customHeight="1" thickBot="1" x14ac:dyDescent="0.3">
      <c r="A346" s="67" t="str">
        <f t="shared" si="4"/>
        <v>Bioretention Plus Vault0.3Q2BModerateLake Wohlford</v>
      </c>
      <c r="B346" s="7" t="s">
        <v>72</v>
      </c>
      <c r="C346" s="7" t="s">
        <v>18</v>
      </c>
      <c r="D346" s="8" t="s">
        <v>16</v>
      </c>
      <c r="E346" s="7" t="s">
        <v>12</v>
      </c>
      <c r="F346" s="9">
        <v>0.04</v>
      </c>
      <c r="G346" s="10">
        <v>0.26</v>
      </c>
      <c r="H346" s="11" t="s">
        <v>71</v>
      </c>
    </row>
    <row r="347" spans="1:8" ht="14.45" customHeight="1" thickBot="1" x14ac:dyDescent="0.3">
      <c r="A347" s="67" t="str">
        <f t="shared" ref="A347:A389" si="5">CONCATENATE(A$42,B347,C347,D347,E347)</f>
        <v>Bioretention Plus Vault0.3Q2BSteepLake Wohlford</v>
      </c>
      <c r="B347" s="7" t="s">
        <v>72</v>
      </c>
      <c r="C347" s="7" t="s">
        <v>18</v>
      </c>
      <c r="D347" s="7" t="s">
        <v>17</v>
      </c>
      <c r="E347" s="7" t="s">
        <v>12</v>
      </c>
      <c r="F347" s="9">
        <v>0.04</v>
      </c>
      <c r="G347" s="10">
        <v>0.16</v>
      </c>
      <c r="H347" s="11" t="s">
        <v>71</v>
      </c>
    </row>
    <row r="348" spans="1:8" ht="14.45" customHeight="1" thickBot="1" x14ac:dyDescent="0.3">
      <c r="A348" s="67" t="str">
        <f t="shared" si="5"/>
        <v>Bioretention Plus Vault0.3Q2CFlatLake Wohlford</v>
      </c>
      <c r="B348" s="7" t="s">
        <v>72</v>
      </c>
      <c r="C348" s="7" t="s">
        <v>19</v>
      </c>
      <c r="D348" s="7" t="s">
        <v>55</v>
      </c>
      <c r="E348" s="7" t="s">
        <v>12</v>
      </c>
      <c r="F348" s="9">
        <v>0.04</v>
      </c>
      <c r="G348" s="10">
        <v>0.16</v>
      </c>
      <c r="H348" s="11" t="s">
        <v>71</v>
      </c>
    </row>
    <row r="349" spans="1:8" ht="14.45" customHeight="1" thickBot="1" x14ac:dyDescent="0.3">
      <c r="A349" s="67" t="str">
        <f t="shared" si="5"/>
        <v>Bioretention Plus Vault0.3Q2CModerateLake Wohlford</v>
      </c>
      <c r="B349" s="7" t="s">
        <v>72</v>
      </c>
      <c r="C349" s="7" t="s">
        <v>19</v>
      </c>
      <c r="D349" s="8" t="s">
        <v>16</v>
      </c>
      <c r="E349" s="7" t="s">
        <v>12</v>
      </c>
      <c r="F349" s="9">
        <v>0.04</v>
      </c>
      <c r="G349" s="10">
        <v>0.16</v>
      </c>
      <c r="H349" s="11" t="s">
        <v>71</v>
      </c>
    </row>
    <row r="350" spans="1:8" ht="14.45" customHeight="1" thickBot="1" x14ac:dyDescent="0.3">
      <c r="A350" s="67" t="str">
        <f t="shared" si="5"/>
        <v>Bioretention Plus Vault0.3Q2CSteepLake Wohlford</v>
      </c>
      <c r="B350" s="7" t="s">
        <v>72</v>
      </c>
      <c r="C350" s="7" t="s">
        <v>19</v>
      </c>
      <c r="D350" s="7" t="s">
        <v>17</v>
      </c>
      <c r="E350" s="7" t="s">
        <v>12</v>
      </c>
      <c r="F350" s="9">
        <v>0.04</v>
      </c>
      <c r="G350" s="10">
        <v>0.12</v>
      </c>
      <c r="H350" s="11" t="s">
        <v>71</v>
      </c>
    </row>
    <row r="351" spans="1:8" ht="14.45" customHeight="1" thickBot="1" x14ac:dyDescent="0.3">
      <c r="A351" s="67" t="str">
        <f t="shared" si="5"/>
        <v>Bioretention Plus Vault0.3Q2DFlatLake Wohlford</v>
      </c>
      <c r="B351" s="7" t="s">
        <v>72</v>
      </c>
      <c r="C351" s="7" t="s">
        <v>20</v>
      </c>
      <c r="D351" s="7" t="s">
        <v>55</v>
      </c>
      <c r="E351" s="7" t="s">
        <v>12</v>
      </c>
      <c r="F351" s="9">
        <v>0.04</v>
      </c>
      <c r="G351" s="10">
        <v>0.12</v>
      </c>
      <c r="H351" s="11" t="s">
        <v>71</v>
      </c>
    </row>
    <row r="352" spans="1:8" ht="14.45" customHeight="1" thickBot="1" x14ac:dyDescent="0.3">
      <c r="A352" s="67" t="str">
        <f t="shared" si="5"/>
        <v>Bioretention Plus Vault0.3Q2DModerateLake Wohlford</v>
      </c>
      <c r="B352" s="7" t="s">
        <v>72</v>
      </c>
      <c r="C352" s="7" t="s">
        <v>20</v>
      </c>
      <c r="D352" s="8" t="s">
        <v>16</v>
      </c>
      <c r="E352" s="7" t="s">
        <v>12</v>
      </c>
      <c r="F352" s="9">
        <v>0.04</v>
      </c>
      <c r="G352" s="10">
        <v>0.12</v>
      </c>
      <c r="H352" s="11" t="s">
        <v>71</v>
      </c>
    </row>
    <row r="353" spans="1:8" ht="14.45" customHeight="1" thickBot="1" x14ac:dyDescent="0.3">
      <c r="A353" s="67" t="str">
        <f t="shared" si="5"/>
        <v>Bioretention Plus Vault0.3Q2DSteepLake Wohlford</v>
      </c>
      <c r="B353" s="7" t="s">
        <v>72</v>
      </c>
      <c r="C353" s="7" t="s">
        <v>20</v>
      </c>
      <c r="D353" s="7" t="s">
        <v>17</v>
      </c>
      <c r="E353" s="7" t="s">
        <v>12</v>
      </c>
      <c r="F353" s="9">
        <v>0.04</v>
      </c>
      <c r="G353" s="10">
        <v>0.08</v>
      </c>
      <c r="H353" s="11" t="s">
        <v>71</v>
      </c>
    </row>
    <row r="354" spans="1:8" ht="14.45" customHeight="1" thickBot="1" x14ac:dyDescent="0.3">
      <c r="A354" s="67" t="str">
        <f t="shared" si="5"/>
        <v>Bioretention Plus Vault0.1Q2AFlatLindbergh</v>
      </c>
      <c r="B354" s="7" t="s">
        <v>73</v>
      </c>
      <c r="C354" s="7" t="s">
        <v>13</v>
      </c>
      <c r="D354" s="7" t="s">
        <v>55</v>
      </c>
      <c r="E354" s="8" t="s">
        <v>24</v>
      </c>
      <c r="F354" s="9" t="s">
        <v>71</v>
      </c>
      <c r="G354" s="9" t="s">
        <v>71</v>
      </c>
      <c r="H354" s="11" t="s">
        <v>71</v>
      </c>
    </row>
    <row r="355" spans="1:8" ht="14.45" customHeight="1" thickBot="1" x14ac:dyDescent="0.3">
      <c r="A355" s="67" t="str">
        <f t="shared" si="5"/>
        <v>Bioretention Plus Vault0.1Q2AModerateLindbergh</v>
      </c>
      <c r="B355" s="7" t="s">
        <v>73</v>
      </c>
      <c r="C355" s="7" t="s">
        <v>13</v>
      </c>
      <c r="D355" s="8" t="s">
        <v>16</v>
      </c>
      <c r="E355" s="8" t="s">
        <v>24</v>
      </c>
      <c r="F355" s="9" t="s">
        <v>71</v>
      </c>
      <c r="G355" s="9" t="s">
        <v>71</v>
      </c>
      <c r="H355" s="11" t="s">
        <v>71</v>
      </c>
    </row>
    <row r="356" spans="1:8" ht="14.45" customHeight="1" thickBot="1" x14ac:dyDescent="0.3">
      <c r="A356" s="67" t="str">
        <f t="shared" si="5"/>
        <v>Bioretention Plus Vault0.1Q2ASteepLindbergh</v>
      </c>
      <c r="B356" s="7" t="s">
        <v>73</v>
      </c>
      <c r="C356" s="7" t="s">
        <v>13</v>
      </c>
      <c r="D356" s="7" t="s">
        <v>17</v>
      </c>
      <c r="E356" s="8" t="s">
        <v>24</v>
      </c>
      <c r="F356" s="9" t="s">
        <v>71</v>
      </c>
      <c r="G356" s="9" t="s">
        <v>71</v>
      </c>
      <c r="H356" s="11" t="s">
        <v>71</v>
      </c>
    </row>
    <row r="357" spans="1:8" ht="14.45" customHeight="1" thickBot="1" x14ac:dyDescent="0.3">
      <c r="A357" s="67" t="str">
        <f t="shared" si="5"/>
        <v>Bioretention Plus Vault0.1Q2BFlatLindbergh</v>
      </c>
      <c r="B357" s="7" t="s">
        <v>73</v>
      </c>
      <c r="C357" s="7" t="s">
        <v>18</v>
      </c>
      <c r="D357" s="7" t="s">
        <v>55</v>
      </c>
      <c r="E357" s="8" t="s">
        <v>24</v>
      </c>
      <c r="F357" s="9">
        <v>0.04</v>
      </c>
      <c r="G357" s="10">
        <v>0.59</v>
      </c>
      <c r="H357" s="11" t="s">
        <v>71</v>
      </c>
    </row>
    <row r="358" spans="1:8" ht="14.45" customHeight="1" thickBot="1" x14ac:dyDescent="0.3">
      <c r="A358" s="67" t="str">
        <f t="shared" si="5"/>
        <v>Bioretention Plus Vault0.1Q2BModerateLindbergh</v>
      </c>
      <c r="B358" s="7" t="s">
        <v>73</v>
      </c>
      <c r="C358" s="7" t="s">
        <v>18</v>
      </c>
      <c r="D358" s="8" t="s">
        <v>16</v>
      </c>
      <c r="E358" s="8" t="s">
        <v>24</v>
      </c>
      <c r="F358" s="9">
        <v>0.04</v>
      </c>
      <c r="G358" s="10">
        <v>0.5</v>
      </c>
      <c r="H358" s="11" t="s">
        <v>71</v>
      </c>
    </row>
    <row r="359" spans="1:8" ht="14.45" customHeight="1" thickBot="1" x14ac:dyDescent="0.3">
      <c r="A359" s="67" t="str">
        <f t="shared" si="5"/>
        <v>Bioretention Plus Vault0.1Q2BSteepLindbergh</v>
      </c>
      <c r="B359" s="7" t="s">
        <v>73</v>
      </c>
      <c r="C359" s="7" t="s">
        <v>18</v>
      </c>
      <c r="D359" s="7" t="s">
        <v>17</v>
      </c>
      <c r="E359" s="8" t="s">
        <v>24</v>
      </c>
      <c r="F359" s="9">
        <v>0.04</v>
      </c>
      <c r="G359" s="10">
        <v>0.32</v>
      </c>
      <c r="H359" s="11" t="s">
        <v>71</v>
      </c>
    </row>
    <row r="360" spans="1:8" ht="14.45" customHeight="1" thickBot="1" x14ac:dyDescent="0.3">
      <c r="A360" s="67" t="str">
        <f t="shared" si="5"/>
        <v>Bioretention Plus Vault0.1Q2CFlatLindbergh</v>
      </c>
      <c r="B360" s="7" t="s">
        <v>73</v>
      </c>
      <c r="C360" s="7" t="s">
        <v>19</v>
      </c>
      <c r="D360" s="7" t="s">
        <v>55</v>
      </c>
      <c r="E360" s="8" t="s">
        <v>24</v>
      </c>
      <c r="F360" s="9">
        <v>0.04</v>
      </c>
      <c r="G360" s="10">
        <v>0.34</v>
      </c>
      <c r="H360" s="11" t="s">
        <v>71</v>
      </c>
    </row>
    <row r="361" spans="1:8" ht="14.45" customHeight="1" thickBot="1" x14ac:dyDescent="0.3">
      <c r="A361" s="67" t="str">
        <f t="shared" si="5"/>
        <v>Bioretention Plus Vault0.1Q2CModerateLindbergh</v>
      </c>
      <c r="B361" s="7" t="s">
        <v>73</v>
      </c>
      <c r="C361" s="7" t="s">
        <v>19</v>
      </c>
      <c r="D361" s="8" t="s">
        <v>16</v>
      </c>
      <c r="E361" s="8" t="s">
        <v>24</v>
      </c>
      <c r="F361" s="9">
        <v>0.04</v>
      </c>
      <c r="G361" s="10">
        <v>0.34</v>
      </c>
      <c r="H361" s="11" t="s">
        <v>71</v>
      </c>
    </row>
    <row r="362" spans="1:8" ht="14.45" customHeight="1" thickBot="1" x14ac:dyDescent="0.3">
      <c r="A362" s="67" t="str">
        <f t="shared" si="5"/>
        <v>Bioretention Plus Vault0.1Q2CSteepLindbergh</v>
      </c>
      <c r="B362" s="7" t="s">
        <v>73</v>
      </c>
      <c r="C362" s="7" t="s">
        <v>19</v>
      </c>
      <c r="D362" s="7" t="s">
        <v>17</v>
      </c>
      <c r="E362" s="8" t="s">
        <v>24</v>
      </c>
      <c r="F362" s="9">
        <v>0.04</v>
      </c>
      <c r="G362" s="10">
        <v>0.24</v>
      </c>
      <c r="H362" s="11" t="s">
        <v>71</v>
      </c>
    </row>
    <row r="363" spans="1:8" ht="14.45" customHeight="1" thickBot="1" x14ac:dyDescent="0.3">
      <c r="A363" s="67" t="str">
        <f t="shared" si="5"/>
        <v>Bioretention Plus Vault0.1Q2DFlatLindbergh</v>
      </c>
      <c r="B363" s="7" t="s">
        <v>73</v>
      </c>
      <c r="C363" s="7" t="s">
        <v>20</v>
      </c>
      <c r="D363" s="7" t="s">
        <v>55</v>
      </c>
      <c r="E363" s="8" t="s">
        <v>24</v>
      </c>
      <c r="F363" s="9">
        <v>0.04</v>
      </c>
      <c r="G363" s="10">
        <v>0.26</v>
      </c>
      <c r="H363" s="11" t="s">
        <v>71</v>
      </c>
    </row>
    <row r="364" spans="1:8" ht="14.45" customHeight="1" thickBot="1" x14ac:dyDescent="0.3">
      <c r="A364" s="67" t="str">
        <f t="shared" si="5"/>
        <v>Bioretention Plus Vault0.1Q2DModerateLindbergh</v>
      </c>
      <c r="B364" s="7" t="s">
        <v>73</v>
      </c>
      <c r="C364" s="7" t="s">
        <v>20</v>
      </c>
      <c r="D364" s="8" t="s">
        <v>16</v>
      </c>
      <c r="E364" s="8" t="s">
        <v>24</v>
      </c>
      <c r="F364" s="9">
        <v>0.04</v>
      </c>
      <c r="G364" s="10">
        <v>0.26</v>
      </c>
      <c r="H364" s="11" t="s">
        <v>71</v>
      </c>
    </row>
    <row r="365" spans="1:8" ht="14.45" customHeight="1" thickBot="1" x14ac:dyDescent="0.3">
      <c r="A365" s="67" t="str">
        <f t="shared" si="5"/>
        <v>Bioretention Plus Vault0.1Q2DSteepLindbergh</v>
      </c>
      <c r="B365" s="7" t="s">
        <v>73</v>
      </c>
      <c r="C365" s="7" t="s">
        <v>20</v>
      </c>
      <c r="D365" s="7" t="s">
        <v>17</v>
      </c>
      <c r="E365" s="8" t="s">
        <v>24</v>
      </c>
      <c r="F365" s="9">
        <v>0.04</v>
      </c>
      <c r="G365" s="10">
        <v>0.18</v>
      </c>
      <c r="H365" s="11" t="s">
        <v>71</v>
      </c>
    </row>
    <row r="366" spans="1:8" ht="14.45" customHeight="1" thickBot="1" x14ac:dyDescent="0.3">
      <c r="A366" s="67" t="str">
        <f t="shared" si="5"/>
        <v>Bioretention Plus Vault0.1Q2AFlatOceanside</v>
      </c>
      <c r="B366" s="7" t="s">
        <v>73</v>
      </c>
      <c r="C366" s="7" t="s">
        <v>13</v>
      </c>
      <c r="D366" s="7" t="s">
        <v>55</v>
      </c>
      <c r="E366" s="8" t="s">
        <v>23</v>
      </c>
      <c r="F366" s="9" t="s">
        <v>71</v>
      </c>
      <c r="G366" s="9" t="s">
        <v>71</v>
      </c>
      <c r="H366" s="11" t="s">
        <v>71</v>
      </c>
    </row>
    <row r="367" spans="1:8" ht="14.45" customHeight="1" thickBot="1" x14ac:dyDescent="0.3">
      <c r="A367" s="67" t="str">
        <f t="shared" si="5"/>
        <v>Bioretention Plus Vault0.1Q2AModerateOceanside</v>
      </c>
      <c r="B367" s="7" t="s">
        <v>73</v>
      </c>
      <c r="C367" s="7" t="s">
        <v>13</v>
      </c>
      <c r="D367" s="8" t="s">
        <v>16</v>
      </c>
      <c r="E367" s="8" t="s">
        <v>23</v>
      </c>
      <c r="F367" s="9" t="s">
        <v>71</v>
      </c>
      <c r="G367" s="9" t="s">
        <v>71</v>
      </c>
      <c r="H367" s="11" t="s">
        <v>71</v>
      </c>
    </row>
    <row r="368" spans="1:8" ht="14.45" customHeight="1" thickBot="1" x14ac:dyDescent="0.3">
      <c r="A368" s="67" t="str">
        <f t="shared" si="5"/>
        <v>Bioretention Plus Vault0.1Q2ASteepOceanside</v>
      </c>
      <c r="B368" s="7" t="s">
        <v>73</v>
      </c>
      <c r="C368" s="7" t="s">
        <v>13</v>
      </c>
      <c r="D368" s="7" t="s">
        <v>17</v>
      </c>
      <c r="E368" s="8" t="s">
        <v>23</v>
      </c>
      <c r="F368" s="9" t="s">
        <v>71</v>
      </c>
      <c r="G368" s="9" t="s">
        <v>71</v>
      </c>
      <c r="H368" s="11" t="s">
        <v>71</v>
      </c>
    </row>
    <row r="369" spans="1:8" ht="14.45" customHeight="1" thickBot="1" x14ac:dyDescent="0.3">
      <c r="A369" s="67" t="str">
        <f t="shared" si="5"/>
        <v>Bioretention Plus Vault0.1Q2BFlatOceanside</v>
      </c>
      <c r="B369" s="7" t="s">
        <v>73</v>
      </c>
      <c r="C369" s="7" t="s">
        <v>18</v>
      </c>
      <c r="D369" s="7" t="s">
        <v>55</v>
      </c>
      <c r="E369" s="8" t="s">
        <v>23</v>
      </c>
      <c r="F369" s="9">
        <v>0.04</v>
      </c>
      <c r="G369" s="10">
        <v>0.43</v>
      </c>
      <c r="H369" s="11" t="s">
        <v>71</v>
      </c>
    </row>
    <row r="370" spans="1:8" ht="14.45" customHeight="1" thickBot="1" x14ac:dyDescent="0.3">
      <c r="A370" s="67" t="str">
        <f t="shared" si="5"/>
        <v>Bioretention Plus Vault0.1Q2BModerateOceanside</v>
      </c>
      <c r="B370" s="7" t="s">
        <v>73</v>
      </c>
      <c r="C370" s="7" t="s">
        <v>18</v>
      </c>
      <c r="D370" s="8" t="s">
        <v>16</v>
      </c>
      <c r="E370" s="8" t="s">
        <v>23</v>
      </c>
      <c r="F370" s="9">
        <v>0.04</v>
      </c>
      <c r="G370" s="10">
        <v>0.34</v>
      </c>
      <c r="H370" s="11" t="s">
        <v>71</v>
      </c>
    </row>
    <row r="371" spans="1:8" ht="14.45" customHeight="1" thickBot="1" x14ac:dyDescent="0.3">
      <c r="A371" s="67" t="str">
        <f t="shared" si="5"/>
        <v>Bioretention Plus Vault0.1Q2BSteepOceanside</v>
      </c>
      <c r="B371" s="7" t="s">
        <v>73</v>
      </c>
      <c r="C371" s="7" t="s">
        <v>18</v>
      </c>
      <c r="D371" s="7" t="s">
        <v>17</v>
      </c>
      <c r="E371" s="8" t="s">
        <v>23</v>
      </c>
      <c r="F371" s="9">
        <v>0.04</v>
      </c>
      <c r="G371" s="10">
        <v>0.24</v>
      </c>
      <c r="H371" s="11" t="s">
        <v>71</v>
      </c>
    </row>
    <row r="372" spans="1:8" ht="14.45" customHeight="1" thickBot="1" x14ac:dyDescent="0.3">
      <c r="A372" s="67" t="str">
        <f t="shared" si="5"/>
        <v>Bioretention Plus Vault0.1Q2CFlatOceanside</v>
      </c>
      <c r="B372" s="7" t="s">
        <v>73</v>
      </c>
      <c r="C372" s="7" t="s">
        <v>19</v>
      </c>
      <c r="D372" s="7" t="s">
        <v>55</v>
      </c>
      <c r="E372" s="8" t="s">
        <v>23</v>
      </c>
      <c r="F372" s="9">
        <v>0.04</v>
      </c>
      <c r="G372" s="10">
        <v>0.26</v>
      </c>
      <c r="H372" s="11" t="s">
        <v>71</v>
      </c>
    </row>
    <row r="373" spans="1:8" ht="14.45" customHeight="1" thickBot="1" x14ac:dyDescent="0.3">
      <c r="A373" s="67" t="str">
        <f t="shared" si="5"/>
        <v>Bioretention Plus Vault0.1Q2CModerateOceanside</v>
      </c>
      <c r="B373" s="7" t="s">
        <v>73</v>
      </c>
      <c r="C373" s="7" t="s">
        <v>19</v>
      </c>
      <c r="D373" s="8" t="s">
        <v>16</v>
      </c>
      <c r="E373" s="8" t="s">
        <v>23</v>
      </c>
      <c r="F373" s="9">
        <v>0.04</v>
      </c>
      <c r="G373" s="10">
        <v>0.26</v>
      </c>
      <c r="H373" s="11" t="s">
        <v>71</v>
      </c>
    </row>
    <row r="374" spans="1:8" ht="14.45" customHeight="1" thickBot="1" x14ac:dyDescent="0.3">
      <c r="A374" s="67" t="str">
        <f t="shared" si="5"/>
        <v>Bioretention Plus Vault0.1Q2CSteepOceanside</v>
      </c>
      <c r="B374" s="7" t="s">
        <v>73</v>
      </c>
      <c r="C374" s="7" t="s">
        <v>19</v>
      </c>
      <c r="D374" s="7" t="s">
        <v>17</v>
      </c>
      <c r="E374" s="8" t="s">
        <v>23</v>
      </c>
      <c r="F374" s="9">
        <v>0.04</v>
      </c>
      <c r="G374" s="10">
        <v>0.2</v>
      </c>
      <c r="H374" s="11" t="s">
        <v>71</v>
      </c>
    </row>
    <row r="375" spans="1:8" ht="14.45" customHeight="1" thickBot="1" x14ac:dyDescent="0.3">
      <c r="A375" s="67" t="str">
        <f t="shared" si="5"/>
        <v>Bioretention Plus Vault0.1Q2DFlatOceanside</v>
      </c>
      <c r="B375" s="7" t="s">
        <v>73</v>
      </c>
      <c r="C375" s="7" t="s">
        <v>20</v>
      </c>
      <c r="D375" s="7" t="s">
        <v>55</v>
      </c>
      <c r="E375" s="8" t="s">
        <v>23</v>
      </c>
      <c r="F375" s="9">
        <v>0.04</v>
      </c>
      <c r="G375" s="10">
        <v>0.22</v>
      </c>
      <c r="H375" s="11" t="s">
        <v>71</v>
      </c>
    </row>
    <row r="376" spans="1:8" ht="14.45" customHeight="1" thickBot="1" x14ac:dyDescent="0.3">
      <c r="A376" s="67" t="str">
        <f t="shared" si="5"/>
        <v>Bioretention Plus Vault0.1Q2DModerateOceanside</v>
      </c>
      <c r="B376" s="7" t="s">
        <v>73</v>
      </c>
      <c r="C376" s="7" t="s">
        <v>20</v>
      </c>
      <c r="D376" s="8" t="s">
        <v>16</v>
      </c>
      <c r="E376" s="8" t="s">
        <v>23</v>
      </c>
      <c r="F376" s="9">
        <v>0.04</v>
      </c>
      <c r="G376" s="10">
        <v>0.22</v>
      </c>
      <c r="H376" s="11" t="s">
        <v>71</v>
      </c>
    </row>
    <row r="377" spans="1:8" ht="14.45" customHeight="1" thickBot="1" x14ac:dyDescent="0.3">
      <c r="A377" s="67" t="str">
        <f t="shared" si="5"/>
        <v>Bioretention Plus Vault0.1Q2DSteepOceanside</v>
      </c>
      <c r="B377" s="7" t="s">
        <v>73</v>
      </c>
      <c r="C377" s="7" t="s">
        <v>20</v>
      </c>
      <c r="D377" s="7" t="s">
        <v>17</v>
      </c>
      <c r="E377" s="8" t="s">
        <v>23</v>
      </c>
      <c r="F377" s="9">
        <v>0.04</v>
      </c>
      <c r="G377" s="10">
        <v>0.16</v>
      </c>
      <c r="H377" s="11" t="s">
        <v>71</v>
      </c>
    </row>
    <row r="378" spans="1:8" ht="14.45" customHeight="1" thickBot="1" x14ac:dyDescent="0.3">
      <c r="A378" s="67" t="str">
        <f t="shared" si="5"/>
        <v>Bioretention Plus Vault0.1Q2AFlatLake Wohlford</v>
      </c>
      <c r="B378" s="7" t="s">
        <v>73</v>
      </c>
      <c r="C378" s="7" t="s">
        <v>13</v>
      </c>
      <c r="D378" s="7" t="s">
        <v>55</v>
      </c>
      <c r="E378" s="7" t="s">
        <v>12</v>
      </c>
      <c r="F378" s="9" t="s">
        <v>71</v>
      </c>
      <c r="G378" s="9" t="s">
        <v>71</v>
      </c>
      <c r="H378" s="11" t="s">
        <v>71</v>
      </c>
    </row>
    <row r="379" spans="1:8" ht="14.45" customHeight="1" thickBot="1" x14ac:dyDescent="0.3">
      <c r="A379" s="67" t="str">
        <f t="shared" si="5"/>
        <v>Bioretention Plus Vault0.1Q2AModerateLake Wohlford</v>
      </c>
      <c r="B379" s="7" t="s">
        <v>73</v>
      </c>
      <c r="C379" s="7" t="s">
        <v>13</v>
      </c>
      <c r="D379" s="8" t="s">
        <v>16</v>
      </c>
      <c r="E379" s="7" t="s">
        <v>12</v>
      </c>
      <c r="F379" s="9" t="s">
        <v>71</v>
      </c>
      <c r="G379" s="9" t="s">
        <v>71</v>
      </c>
      <c r="H379" s="11" t="s">
        <v>71</v>
      </c>
    </row>
    <row r="380" spans="1:8" ht="14.45" customHeight="1" thickBot="1" x14ac:dyDescent="0.3">
      <c r="A380" s="67" t="str">
        <f t="shared" si="5"/>
        <v>Bioretention Plus Vault0.1Q2ASteepLake Wohlford</v>
      </c>
      <c r="B380" s="7" t="s">
        <v>73</v>
      </c>
      <c r="C380" s="7" t="s">
        <v>13</v>
      </c>
      <c r="D380" s="7" t="s">
        <v>17</v>
      </c>
      <c r="E380" s="7" t="s">
        <v>12</v>
      </c>
      <c r="F380" s="9" t="s">
        <v>71</v>
      </c>
      <c r="G380" s="9" t="s">
        <v>71</v>
      </c>
      <c r="H380" s="11" t="s">
        <v>71</v>
      </c>
    </row>
    <row r="381" spans="1:8" ht="14.45" customHeight="1" thickBot="1" x14ac:dyDescent="0.3">
      <c r="A381" s="67" t="str">
        <f t="shared" si="5"/>
        <v>Bioretention Plus Vault0.1Q2BFlatLake Wohlford</v>
      </c>
      <c r="B381" s="7" t="s">
        <v>73</v>
      </c>
      <c r="C381" s="7" t="s">
        <v>18</v>
      </c>
      <c r="D381" s="7" t="s">
        <v>55</v>
      </c>
      <c r="E381" s="7" t="s">
        <v>12</v>
      </c>
      <c r="F381" s="9">
        <v>0.04</v>
      </c>
      <c r="G381" s="10">
        <v>0.43</v>
      </c>
      <c r="H381" s="11" t="s">
        <v>71</v>
      </c>
    </row>
    <row r="382" spans="1:8" ht="14.45" customHeight="1" thickBot="1" x14ac:dyDescent="0.3">
      <c r="A382" s="67" t="str">
        <f t="shared" si="5"/>
        <v>Bioretention Plus Vault0.1Q2BModerateLake Wohlford</v>
      </c>
      <c r="B382" s="7" t="s">
        <v>73</v>
      </c>
      <c r="C382" s="7" t="s">
        <v>18</v>
      </c>
      <c r="D382" s="8" t="s">
        <v>16</v>
      </c>
      <c r="E382" s="7" t="s">
        <v>12</v>
      </c>
      <c r="F382" s="9">
        <v>0.04</v>
      </c>
      <c r="G382" s="10">
        <v>0.38</v>
      </c>
      <c r="H382" s="11" t="s">
        <v>71</v>
      </c>
    </row>
    <row r="383" spans="1:8" ht="14.45" customHeight="1" thickBot="1" x14ac:dyDescent="0.3">
      <c r="A383" s="67" t="str">
        <f t="shared" si="5"/>
        <v>Bioretention Plus Vault0.1Q2BSteepLake Wohlford</v>
      </c>
      <c r="B383" s="7" t="s">
        <v>73</v>
      </c>
      <c r="C383" s="7" t="s">
        <v>18</v>
      </c>
      <c r="D383" s="7" t="s">
        <v>17</v>
      </c>
      <c r="E383" s="7" t="s">
        <v>12</v>
      </c>
      <c r="F383" s="9">
        <v>0.04</v>
      </c>
      <c r="G383" s="10">
        <v>0.28000000000000003</v>
      </c>
      <c r="H383" s="11" t="s">
        <v>71</v>
      </c>
    </row>
    <row r="384" spans="1:8" ht="14.45" customHeight="1" thickBot="1" x14ac:dyDescent="0.3">
      <c r="A384" s="67" t="str">
        <f t="shared" si="5"/>
        <v>Bioretention Plus Vault0.1Q2CFlatLake Wohlford</v>
      </c>
      <c r="B384" s="7" t="s">
        <v>73</v>
      </c>
      <c r="C384" s="7" t="s">
        <v>19</v>
      </c>
      <c r="D384" s="7" t="s">
        <v>55</v>
      </c>
      <c r="E384" s="7" t="s">
        <v>12</v>
      </c>
      <c r="F384" s="9">
        <v>0.04</v>
      </c>
      <c r="G384" s="10">
        <v>0.28000000000000003</v>
      </c>
      <c r="H384" s="11" t="s">
        <v>71</v>
      </c>
    </row>
    <row r="385" spans="1:8" ht="14.45" customHeight="1" thickBot="1" x14ac:dyDescent="0.3">
      <c r="A385" s="67" t="str">
        <f t="shared" si="5"/>
        <v>Bioretention Plus Vault0.1Q2CModerateLake Wohlford</v>
      </c>
      <c r="B385" s="7" t="s">
        <v>73</v>
      </c>
      <c r="C385" s="7" t="s">
        <v>19</v>
      </c>
      <c r="D385" s="8" t="s">
        <v>16</v>
      </c>
      <c r="E385" s="7" t="s">
        <v>12</v>
      </c>
      <c r="F385" s="9">
        <v>0.04</v>
      </c>
      <c r="G385" s="10">
        <v>0.28000000000000003</v>
      </c>
      <c r="H385" s="11" t="s">
        <v>71</v>
      </c>
    </row>
    <row r="386" spans="1:8" ht="14.45" customHeight="1" thickBot="1" x14ac:dyDescent="0.3">
      <c r="A386" s="67" t="str">
        <f t="shared" si="5"/>
        <v>Bioretention Plus Vault0.1Q2CSteepLake Wohlford</v>
      </c>
      <c r="B386" s="7" t="s">
        <v>73</v>
      </c>
      <c r="C386" s="7" t="s">
        <v>19</v>
      </c>
      <c r="D386" s="7" t="s">
        <v>17</v>
      </c>
      <c r="E386" s="7" t="s">
        <v>12</v>
      </c>
      <c r="F386" s="9">
        <v>0.04</v>
      </c>
      <c r="G386" s="10">
        <v>0.2</v>
      </c>
      <c r="H386" s="11" t="s">
        <v>71</v>
      </c>
    </row>
    <row r="387" spans="1:8" ht="14.45" customHeight="1" thickBot="1" x14ac:dyDescent="0.3">
      <c r="A387" s="67" t="str">
        <f t="shared" si="5"/>
        <v>Bioretention Plus Vault0.1Q2DFlatLake Wohlford</v>
      </c>
      <c r="B387" s="7" t="s">
        <v>73</v>
      </c>
      <c r="C387" s="7" t="s">
        <v>20</v>
      </c>
      <c r="D387" s="7" t="s">
        <v>55</v>
      </c>
      <c r="E387" s="7" t="s">
        <v>12</v>
      </c>
      <c r="F387" s="9">
        <v>0.04</v>
      </c>
      <c r="G387" s="10">
        <v>0.22</v>
      </c>
      <c r="H387" s="11" t="s">
        <v>71</v>
      </c>
    </row>
    <row r="388" spans="1:8" ht="14.45" customHeight="1" thickBot="1" x14ac:dyDescent="0.3">
      <c r="A388" s="67" t="str">
        <f t="shared" si="5"/>
        <v>Bioretention Plus Vault0.1Q2DModerateLake Wohlford</v>
      </c>
      <c r="B388" s="7" t="s">
        <v>73</v>
      </c>
      <c r="C388" s="7" t="s">
        <v>20</v>
      </c>
      <c r="D388" s="8" t="s">
        <v>16</v>
      </c>
      <c r="E388" s="7" t="s">
        <v>12</v>
      </c>
      <c r="F388" s="9">
        <v>0.04</v>
      </c>
      <c r="G388" s="10">
        <v>0.22</v>
      </c>
      <c r="H388" s="11" t="s">
        <v>71</v>
      </c>
    </row>
    <row r="389" spans="1:8" ht="14.45" customHeight="1" thickBot="1" x14ac:dyDescent="0.3">
      <c r="A389" s="67" t="str">
        <f t="shared" si="5"/>
        <v>Bioretention Plus Vault0.1Q2DSteepLake Wohlford</v>
      </c>
      <c r="B389" s="7" t="s">
        <v>73</v>
      </c>
      <c r="C389" s="7" t="s">
        <v>20</v>
      </c>
      <c r="D389" s="7" t="s">
        <v>17</v>
      </c>
      <c r="E389" s="7" t="s">
        <v>12</v>
      </c>
      <c r="F389" s="9">
        <v>0.04</v>
      </c>
      <c r="G389" s="10">
        <v>0.14000000000000001</v>
      </c>
      <c r="H389" s="11" t="s">
        <v>71</v>
      </c>
    </row>
    <row r="390" spans="1:8" ht="14.45" customHeight="1" x14ac:dyDescent="0.25">
      <c r="B390" s="13"/>
    </row>
    <row r="391" spans="1:8" ht="14.45" customHeight="1" x14ac:dyDescent="0.25">
      <c r="B391" s="13"/>
    </row>
    <row r="392" spans="1:8" ht="14.45" customHeight="1" thickBot="1" x14ac:dyDescent="0.3">
      <c r="B392" s="219" t="s">
        <v>76</v>
      </c>
      <c r="C392" s="219"/>
      <c r="D392" s="219"/>
      <c r="E392" s="219"/>
      <c r="F392" s="219"/>
      <c r="G392" s="219"/>
      <c r="H392" s="219"/>
    </row>
    <row r="393" spans="1:8" ht="14.45" customHeight="1" thickBot="1" x14ac:dyDescent="0.3">
      <c r="B393" s="3" t="s">
        <v>81</v>
      </c>
      <c r="C393" s="3" t="s">
        <v>67</v>
      </c>
      <c r="D393" s="4" t="s">
        <v>7</v>
      </c>
      <c r="E393" s="5" t="s">
        <v>4</v>
      </c>
      <c r="F393" s="4" t="s">
        <v>13</v>
      </c>
      <c r="G393" s="4" t="s">
        <v>68</v>
      </c>
      <c r="H393" s="6" t="s">
        <v>69</v>
      </c>
    </row>
    <row r="394" spans="1:8" ht="14.45" customHeight="1" thickBot="1" x14ac:dyDescent="0.3">
      <c r="A394" s="67" t="str">
        <f>CONCATENATE(A$43,B394,C394,D394,E394)</f>
        <v>Flow-Through Planter0.5Q2AFlatLindbergh</v>
      </c>
      <c r="B394" s="7" t="s">
        <v>77</v>
      </c>
      <c r="C394" s="7" t="s">
        <v>13</v>
      </c>
      <c r="D394" s="7" t="s">
        <v>55</v>
      </c>
      <c r="E394" s="8" t="s">
        <v>24</v>
      </c>
      <c r="F394" s="7" t="s">
        <v>71</v>
      </c>
      <c r="G394" s="7" t="s">
        <v>71</v>
      </c>
      <c r="H394" s="15" t="s">
        <v>71</v>
      </c>
    </row>
    <row r="395" spans="1:8" ht="14.45" customHeight="1" thickBot="1" x14ac:dyDescent="0.3">
      <c r="A395" s="67" t="str">
        <f t="shared" ref="A395:A458" si="6">CONCATENATE(A$43,B395,C395,D395,E395)</f>
        <v>Flow-Through Planter0.5Q2AModerateLindbergh</v>
      </c>
      <c r="B395" s="7" t="s">
        <v>77</v>
      </c>
      <c r="C395" s="7" t="s">
        <v>13</v>
      </c>
      <c r="D395" s="8" t="s">
        <v>16</v>
      </c>
      <c r="E395" s="8" t="s">
        <v>24</v>
      </c>
      <c r="F395" s="7" t="s">
        <v>71</v>
      </c>
      <c r="G395" s="7" t="s">
        <v>71</v>
      </c>
      <c r="H395" s="15" t="s">
        <v>71</v>
      </c>
    </row>
    <row r="396" spans="1:8" ht="14.45" customHeight="1" thickBot="1" x14ac:dyDescent="0.3">
      <c r="A396" s="67" t="str">
        <f t="shared" si="6"/>
        <v>Flow-Through Planter0.5Q2ASteepLindbergh</v>
      </c>
      <c r="B396" s="7" t="s">
        <v>77</v>
      </c>
      <c r="C396" s="7" t="s">
        <v>13</v>
      </c>
      <c r="D396" s="7" t="s">
        <v>17</v>
      </c>
      <c r="E396" s="8" t="s">
        <v>24</v>
      </c>
      <c r="F396" s="7" t="s">
        <v>71</v>
      </c>
      <c r="G396" s="7" t="s">
        <v>71</v>
      </c>
      <c r="H396" s="15" t="s">
        <v>71</v>
      </c>
    </row>
    <row r="397" spans="1:8" ht="14.45" customHeight="1" thickBot="1" x14ac:dyDescent="0.3">
      <c r="A397" s="67" t="str">
        <f t="shared" si="6"/>
        <v>Flow-Through Planter0.5Q2BFlatLindbergh</v>
      </c>
      <c r="B397" s="7" t="s">
        <v>77</v>
      </c>
      <c r="C397" s="7" t="s">
        <v>18</v>
      </c>
      <c r="D397" s="7" t="s">
        <v>55</v>
      </c>
      <c r="E397" s="8" t="s">
        <v>24</v>
      </c>
      <c r="F397" s="7" t="s">
        <v>71</v>
      </c>
      <c r="G397" s="7" t="s">
        <v>71</v>
      </c>
      <c r="H397" s="15" t="s">
        <v>71</v>
      </c>
    </row>
    <row r="398" spans="1:8" ht="14.45" customHeight="1" thickBot="1" x14ac:dyDescent="0.3">
      <c r="A398" s="67" t="str">
        <f t="shared" si="6"/>
        <v>Flow-Through Planter0.5Q2BModerateLindbergh</v>
      </c>
      <c r="B398" s="7" t="s">
        <v>77</v>
      </c>
      <c r="C398" s="7" t="s">
        <v>18</v>
      </c>
      <c r="D398" s="8" t="s">
        <v>16</v>
      </c>
      <c r="E398" s="8" t="s">
        <v>24</v>
      </c>
      <c r="F398" s="7" t="s">
        <v>71</v>
      </c>
      <c r="G398" s="7" t="s">
        <v>71</v>
      </c>
      <c r="H398" s="15" t="s">
        <v>71</v>
      </c>
    </row>
    <row r="399" spans="1:8" ht="14.45" customHeight="1" thickBot="1" x14ac:dyDescent="0.3">
      <c r="A399" s="67" t="str">
        <f t="shared" si="6"/>
        <v>Flow-Through Planter0.5Q2BSteepLindbergh</v>
      </c>
      <c r="B399" s="7" t="s">
        <v>77</v>
      </c>
      <c r="C399" s="7" t="s">
        <v>18</v>
      </c>
      <c r="D399" s="7" t="s">
        <v>17</v>
      </c>
      <c r="E399" s="8" t="s">
        <v>24</v>
      </c>
      <c r="F399" s="7" t="s">
        <v>71</v>
      </c>
      <c r="G399" s="7" t="s">
        <v>71</v>
      </c>
      <c r="H399" s="15" t="s">
        <v>71</v>
      </c>
    </row>
    <row r="400" spans="1:8" ht="14.45" customHeight="1" thickBot="1" x14ac:dyDescent="0.3">
      <c r="A400" s="67" t="str">
        <f t="shared" si="6"/>
        <v>Flow-Through Planter0.5Q2CFlatLindbergh</v>
      </c>
      <c r="B400" s="7" t="s">
        <v>77</v>
      </c>
      <c r="C400" s="7" t="s">
        <v>19</v>
      </c>
      <c r="D400" s="7" t="s">
        <v>55</v>
      </c>
      <c r="E400" s="8" t="s">
        <v>24</v>
      </c>
      <c r="F400" s="7">
        <v>0.115</v>
      </c>
      <c r="G400" s="7">
        <v>9.5799999999999996E-2</v>
      </c>
      <c r="H400" s="16">
        <v>6.9000000000000006E-2</v>
      </c>
    </row>
    <row r="401" spans="1:8" ht="14.45" customHeight="1" thickBot="1" x14ac:dyDescent="0.3">
      <c r="A401" s="67" t="str">
        <f t="shared" si="6"/>
        <v>Flow-Through Planter0.5Q2CModerateLindbergh</v>
      </c>
      <c r="B401" s="7" t="s">
        <v>77</v>
      </c>
      <c r="C401" s="7" t="s">
        <v>19</v>
      </c>
      <c r="D401" s="8" t="s">
        <v>16</v>
      </c>
      <c r="E401" s="8" t="s">
        <v>24</v>
      </c>
      <c r="F401" s="7">
        <v>0.115</v>
      </c>
      <c r="G401" s="7">
        <v>9.5799999999999996E-2</v>
      </c>
      <c r="H401" s="16">
        <v>6.9000000000000006E-2</v>
      </c>
    </row>
    <row r="402" spans="1:8" ht="14.45" customHeight="1" thickBot="1" x14ac:dyDescent="0.3">
      <c r="A402" s="67" t="str">
        <f t="shared" si="6"/>
        <v>Flow-Through Planter0.5Q2CSteepLindbergh</v>
      </c>
      <c r="B402" s="7" t="s">
        <v>77</v>
      </c>
      <c r="C402" s="7" t="s">
        <v>19</v>
      </c>
      <c r="D402" s="7" t="s">
        <v>17</v>
      </c>
      <c r="E402" s="8" t="s">
        <v>24</v>
      </c>
      <c r="F402" s="7">
        <v>0.08</v>
      </c>
      <c r="G402" s="7">
        <v>6.6699999999999995E-2</v>
      </c>
      <c r="H402" s="16">
        <v>4.8000000000000001E-2</v>
      </c>
    </row>
    <row r="403" spans="1:8" ht="14.45" customHeight="1" thickBot="1" x14ac:dyDescent="0.3">
      <c r="A403" s="67" t="str">
        <f t="shared" si="6"/>
        <v>Flow-Through Planter0.5Q2DFlatLindbergh</v>
      </c>
      <c r="B403" s="7" t="s">
        <v>77</v>
      </c>
      <c r="C403" s="7" t="s">
        <v>20</v>
      </c>
      <c r="D403" s="7" t="s">
        <v>55</v>
      </c>
      <c r="E403" s="8" t="s">
        <v>24</v>
      </c>
      <c r="F403" s="7">
        <v>8.5000000000000006E-2</v>
      </c>
      <c r="G403" s="7">
        <v>7.0800000000000002E-2</v>
      </c>
      <c r="H403" s="16">
        <v>5.0999999999999997E-2</v>
      </c>
    </row>
    <row r="404" spans="1:8" ht="14.45" customHeight="1" thickBot="1" x14ac:dyDescent="0.3">
      <c r="A404" s="67" t="str">
        <f t="shared" si="6"/>
        <v>Flow-Through Planter0.5Q2DModerateLindbergh</v>
      </c>
      <c r="B404" s="7" t="s">
        <v>77</v>
      </c>
      <c r="C404" s="7" t="s">
        <v>20</v>
      </c>
      <c r="D404" s="8" t="s">
        <v>16</v>
      </c>
      <c r="E404" s="8" t="s">
        <v>24</v>
      </c>
      <c r="F404" s="7">
        <v>8.5000000000000006E-2</v>
      </c>
      <c r="G404" s="7">
        <v>7.0800000000000002E-2</v>
      </c>
      <c r="H404" s="16">
        <v>5.0999999999999997E-2</v>
      </c>
    </row>
    <row r="405" spans="1:8" ht="14.45" customHeight="1" thickBot="1" x14ac:dyDescent="0.3">
      <c r="A405" s="67" t="str">
        <f t="shared" si="6"/>
        <v>Flow-Through Planter0.5Q2DSteepLindbergh</v>
      </c>
      <c r="B405" s="7" t="s">
        <v>77</v>
      </c>
      <c r="C405" s="7" t="s">
        <v>20</v>
      </c>
      <c r="D405" s="7" t="s">
        <v>17</v>
      </c>
      <c r="E405" s="8" t="s">
        <v>24</v>
      </c>
      <c r="F405" s="7">
        <v>6.5000000000000002E-2</v>
      </c>
      <c r="G405" s="7">
        <v>5.4199999999999998E-2</v>
      </c>
      <c r="H405" s="16">
        <v>3.9E-2</v>
      </c>
    </row>
    <row r="406" spans="1:8" ht="14.45" customHeight="1" thickBot="1" x14ac:dyDescent="0.3">
      <c r="A406" s="67" t="str">
        <f t="shared" si="6"/>
        <v>Flow-Through Planter0.5Q2AFlatOceanside</v>
      </c>
      <c r="B406" s="7" t="s">
        <v>77</v>
      </c>
      <c r="C406" s="7" t="s">
        <v>13</v>
      </c>
      <c r="D406" s="7" t="s">
        <v>55</v>
      </c>
      <c r="E406" s="8" t="s">
        <v>23</v>
      </c>
      <c r="F406" s="7" t="s">
        <v>71</v>
      </c>
      <c r="G406" s="7" t="s">
        <v>71</v>
      </c>
      <c r="H406" s="15" t="s">
        <v>71</v>
      </c>
    </row>
    <row r="407" spans="1:8" ht="14.45" customHeight="1" thickBot="1" x14ac:dyDescent="0.3">
      <c r="A407" s="67" t="str">
        <f t="shared" si="6"/>
        <v>Flow-Through Planter0.5Q2AModerateOceanside</v>
      </c>
      <c r="B407" s="7" t="s">
        <v>77</v>
      </c>
      <c r="C407" s="7" t="s">
        <v>13</v>
      </c>
      <c r="D407" s="8" t="s">
        <v>16</v>
      </c>
      <c r="E407" s="8" t="s">
        <v>23</v>
      </c>
      <c r="F407" s="7" t="s">
        <v>71</v>
      </c>
      <c r="G407" s="7" t="s">
        <v>71</v>
      </c>
      <c r="H407" s="15" t="s">
        <v>71</v>
      </c>
    </row>
    <row r="408" spans="1:8" ht="14.45" customHeight="1" thickBot="1" x14ac:dyDescent="0.3">
      <c r="A408" s="67" t="str">
        <f t="shared" si="6"/>
        <v>Flow-Through Planter0.5Q2ASteepOceanside</v>
      </c>
      <c r="B408" s="7" t="s">
        <v>77</v>
      </c>
      <c r="C408" s="7" t="s">
        <v>13</v>
      </c>
      <c r="D408" s="7" t="s">
        <v>17</v>
      </c>
      <c r="E408" s="8" t="s">
        <v>23</v>
      </c>
      <c r="F408" s="7" t="s">
        <v>71</v>
      </c>
      <c r="G408" s="7" t="s">
        <v>71</v>
      </c>
      <c r="H408" s="15" t="s">
        <v>71</v>
      </c>
    </row>
    <row r="409" spans="1:8" ht="14.45" customHeight="1" thickBot="1" x14ac:dyDescent="0.3">
      <c r="A409" s="67" t="str">
        <f t="shared" si="6"/>
        <v>Flow-Through Planter0.5Q2BFlatOceanside</v>
      </c>
      <c r="B409" s="7" t="s">
        <v>77</v>
      </c>
      <c r="C409" s="7" t="s">
        <v>18</v>
      </c>
      <c r="D409" s="7" t="s">
        <v>55</v>
      </c>
      <c r="E409" s="8" t="s">
        <v>23</v>
      </c>
      <c r="F409" s="7" t="s">
        <v>71</v>
      </c>
      <c r="G409" s="7" t="s">
        <v>71</v>
      </c>
      <c r="H409" s="15" t="s">
        <v>71</v>
      </c>
    </row>
    <row r="410" spans="1:8" ht="14.45" customHeight="1" thickBot="1" x14ac:dyDescent="0.3">
      <c r="A410" s="67" t="str">
        <f t="shared" si="6"/>
        <v>Flow-Through Planter0.5Q2BModerateOceanside</v>
      </c>
      <c r="B410" s="7" t="s">
        <v>77</v>
      </c>
      <c r="C410" s="7" t="s">
        <v>18</v>
      </c>
      <c r="D410" s="8" t="s">
        <v>16</v>
      </c>
      <c r="E410" s="8" t="s">
        <v>23</v>
      </c>
      <c r="F410" s="7" t="s">
        <v>71</v>
      </c>
      <c r="G410" s="7" t="s">
        <v>71</v>
      </c>
      <c r="H410" s="15" t="s">
        <v>71</v>
      </c>
    </row>
    <row r="411" spans="1:8" ht="14.45" customHeight="1" thickBot="1" x14ac:dyDescent="0.3">
      <c r="A411" s="67" t="str">
        <f t="shared" si="6"/>
        <v>Flow-Through Planter0.5Q2BSteepOceanside</v>
      </c>
      <c r="B411" s="7" t="s">
        <v>77</v>
      </c>
      <c r="C411" s="7" t="s">
        <v>18</v>
      </c>
      <c r="D411" s="7" t="s">
        <v>17</v>
      </c>
      <c r="E411" s="8" t="s">
        <v>23</v>
      </c>
      <c r="F411" s="7" t="s">
        <v>71</v>
      </c>
      <c r="G411" s="7" t="s">
        <v>71</v>
      </c>
      <c r="H411" s="15" t="s">
        <v>71</v>
      </c>
    </row>
    <row r="412" spans="1:8" ht="14.45" customHeight="1" thickBot="1" x14ac:dyDescent="0.3">
      <c r="A412" s="67" t="str">
        <f t="shared" si="6"/>
        <v>Flow-Through Planter0.5Q2CFlatOceanside</v>
      </c>
      <c r="B412" s="7" t="s">
        <v>77</v>
      </c>
      <c r="C412" s="7" t="s">
        <v>19</v>
      </c>
      <c r="D412" s="7" t="s">
        <v>55</v>
      </c>
      <c r="E412" s="8" t="s">
        <v>23</v>
      </c>
      <c r="F412" s="7">
        <v>7.4999999999999997E-2</v>
      </c>
      <c r="G412" s="7">
        <v>6.25E-2</v>
      </c>
      <c r="H412" s="16">
        <v>4.4999999999999998E-2</v>
      </c>
    </row>
    <row r="413" spans="1:8" ht="14.45" customHeight="1" thickBot="1" x14ac:dyDescent="0.3">
      <c r="A413" s="67" t="str">
        <f t="shared" si="6"/>
        <v>Flow-Through Planter0.5Q2CModerateOceanside</v>
      </c>
      <c r="B413" s="7" t="s">
        <v>77</v>
      </c>
      <c r="C413" s="7" t="s">
        <v>19</v>
      </c>
      <c r="D413" s="8" t="s">
        <v>16</v>
      </c>
      <c r="E413" s="8" t="s">
        <v>23</v>
      </c>
      <c r="F413" s="7">
        <v>7.4999999999999997E-2</v>
      </c>
      <c r="G413" s="7">
        <v>6.25E-2</v>
      </c>
      <c r="H413" s="16">
        <v>4.4999999999999998E-2</v>
      </c>
    </row>
    <row r="414" spans="1:8" ht="14.45" customHeight="1" thickBot="1" x14ac:dyDescent="0.3">
      <c r="A414" s="67" t="str">
        <f t="shared" si="6"/>
        <v>Flow-Through Planter0.5Q2CSteepOceanside</v>
      </c>
      <c r="B414" s="7" t="s">
        <v>77</v>
      </c>
      <c r="C414" s="7" t="s">
        <v>19</v>
      </c>
      <c r="D414" s="7" t="s">
        <v>17</v>
      </c>
      <c r="E414" s="8" t="s">
        <v>23</v>
      </c>
      <c r="F414" s="7">
        <v>6.5000000000000002E-2</v>
      </c>
      <c r="G414" s="7">
        <v>5.4199999999999998E-2</v>
      </c>
      <c r="H414" s="16">
        <v>3.9E-2</v>
      </c>
    </row>
    <row r="415" spans="1:8" ht="14.45" customHeight="1" thickBot="1" x14ac:dyDescent="0.3">
      <c r="A415" s="67" t="str">
        <f t="shared" si="6"/>
        <v>Flow-Through Planter0.5Q2DFlatOceanside</v>
      </c>
      <c r="B415" s="7" t="s">
        <v>77</v>
      </c>
      <c r="C415" s="7" t="s">
        <v>20</v>
      </c>
      <c r="D415" s="7" t="s">
        <v>55</v>
      </c>
      <c r="E415" s="8" t="s">
        <v>23</v>
      </c>
      <c r="F415" s="7">
        <v>7.0000000000000007E-2</v>
      </c>
      <c r="G415" s="7">
        <v>5.8299999999999998E-2</v>
      </c>
      <c r="H415" s="16">
        <v>4.2000000000000003E-2</v>
      </c>
    </row>
    <row r="416" spans="1:8" ht="14.45" customHeight="1" thickBot="1" x14ac:dyDescent="0.3">
      <c r="A416" s="67" t="str">
        <f t="shared" si="6"/>
        <v>Flow-Through Planter0.5Q2DModerateOceanside</v>
      </c>
      <c r="B416" s="7" t="s">
        <v>77</v>
      </c>
      <c r="C416" s="7" t="s">
        <v>20</v>
      </c>
      <c r="D416" s="8" t="s">
        <v>16</v>
      </c>
      <c r="E416" s="8" t="s">
        <v>23</v>
      </c>
      <c r="F416" s="7">
        <v>7.0000000000000007E-2</v>
      </c>
      <c r="G416" s="7">
        <v>5.8299999999999998E-2</v>
      </c>
      <c r="H416" s="16">
        <v>4.2000000000000003E-2</v>
      </c>
    </row>
    <row r="417" spans="1:8" ht="14.45" customHeight="1" thickBot="1" x14ac:dyDescent="0.3">
      <c r="A417" s="67" t="str">
        <f t="shared" si="6"/>
        <v>Flow-Through Planter0.5Q2DSteepOceanside</v>
      </c>
      <c r="B417" s="7" t="s">
        <v>77</v>
      </c>
      <c r="C417" s="7" t="s">
        <v>20</v>
      </c>
      <c r="D417" s="7" t="s">
        <v>17</v>
      </c>
      <c r="E417" s="8" t="s">
        <v>23</v>
      </c>
      <c r="F417" s="7">
        <v>0.05</v>
      </c>
      <c r="G417" s="7">
        <v>4.1700000000000001E-2</v>
      </c>
      <c r="H417" s="16">
        <v>0.03</v>
      </c>
    </row>
    <row r="418" spans="1:8" ht="14.45" customHeight="1" thickBot="1" x14ac:dyDescent="0.3">
      <c r="A418" s="67" t="str">
        <f t="shared" si="6"/>
        <v>Flow-Through Planter0.5Q2AFlatLake Wohlford</v>
      </c>
      <c r="B418" s="7" t="s">
        <v>77</v>
      </c>
      <c r="C418" s="7" t="s">
        <v>13</v>
      </c>
      <c r="D418" s="7" t="s">
        <v>55</v>
      </c>
      <c r="E418" s="7" t="s">
        <v>12</v>
      </c>
      <c r="F418" s="7" t="s">
        <v>71</v>
      </c>
      <c r="G418" s="7" t="s">
        <v>71</v>
      </c>
      <c r="H418" s="15" t="s">
        <v>71</v>
      </c>
    </row>
    <row r="419" spans="1:8" ht="14.45" customHeight="1" thickBot="1" x14ac:dyDescent="0.3">
      <c r="A419" s="67" t="str">
        <f t="shared" si="6"/>
        <v>Flow-Through Planter0.5Q2AModerateLake Wohlford</v>
      </c>
      <c r="B419" s="7" t="s">
        <v>77</v>
      </c>
      <c r="C419" s="7" t="s">
        <v>13</v>
      </c>
      <c r="D419" s="8" t="s">
        <v>16</v>
      </c>
      <c r="E419" s="7" t="s">
        <v>12</v>
      </c>
      <c r="F419" s="7" t="s">
        <v>71</v>
      </c>
      <c r="G419" s="7" t="s">
        <v>71</v>
      </c>
      <c r="H419" s="15" t="s">
        <v>71</v>
      </c>
    </row>
    <row r="420" spans="1:8" ht="14.45" customHeight="1" thickBot="1" x14ac:dyDescent="0.3">
      <c r="A420" s="67" t="str">
        <f t="shared" si="6"/>
        <v>Flow-Through Planter0.5Q2ASteepLake Wohlford</v>
      </c>
      <c r="B420" s="7" t="s">
        <v>77</v>
      </c>
      <c r="C420" s="7" t="s">
        <v>13</v>
      </c>
      <c r="D420" s="7" t="s">
        <v>17</v>
      </c>
      <c r="E420" s="7" t="s">
        <v>12</v>
      </c>
      <c r="F420" s="7" t="s">
        <v>71</v>
      </c>
      <c r="G420" s="7" t="s">
        <v>71</v>
      </c>
      <c r="H420" s="15" t="s">
        <v>71</v>
      </c>
    </row>
    <row r="421" spans="1:8" ht="14.45" customHeight="1" thickBot="1" x14ac:dyDescent="0.3">
      <c r="A421" s="67" t="str">
        <f t="shared" si="6"/>
        <v>Flow-Through Planter0.5Q2BFlatLake Wohlford</v>
      </c>
      <c r="B421" s="7" t="s">
        <v>77</v>
      </c>
      <c r="C421" s="7" t="s">
        <v>18</v>
      </c>
      <c r="D421" s="7" t="s">
        <v>55</v>
      </c>
      <c r="E421" s="7" t="s">
        <v>12</v>
      </c>
      <c r="F421" s="7" t="s">
        <v>71</v>
      </c>
      <c r="G421" s="7" t="s">
        <v>71</v>
      </c>
      <c r="H421" s="15" t="s">
        <v>71</v>
      </c>
    </row>
    <row r="422" spans="1:8" ht="14.45" customHeight="1" thickBot="1" x14ac:dyDescent="0.3">
      <c r="A422" s="67" t="str">
        <f t="shared" si="6"/>
        <v>Flow-Through Planter0.5Q2BModerateLake Wohlford</v>
      </c>
      <c r="B422" s="7" t="s">
        <v>77</v>
      </c>
      <c r="C422" s="7" t="s">
        <v>18</v>
      </c>
      <c r="D422" s="8" t="s">
        <v>16</v>
      </c>
      <c r="E422" s="7" t="s">
        <v>12</v>
      </c>
      <c r="F422" s="7" t="s">
        <v>71</v>
      </c>
      <c r="G422" s="7" t="s">
        <v>71</v>
      </c>
      <c r="H422" s="15" t="s">
        <v>71</v>
      </c>
    </row>
    <row r="423" spans="1:8" ht="14.45" customHeight="1" thickBot="1" x14ac:dyDescent="0.3">
      <c r="A423" s="67" t="str">
        <f t="shared" si="6"/>
        <v>Flow-Through Planter0.5Q2BSteepLake Wohlford</v>
      </c>
      <c r="B423" s="7" t="s">
        <v>77</v>
      </c>
      <c r="C423" s="7" t="s">
        <v>18</v>
      </c>
      <c r="D423" s="7" t="s">
        <v>17</v>
      </c>
      <c r="E423" s="7" t="s">
        <v>12</v>
      </c>
      <c r="F423" s="7" t="s">
        <v>71</v>
      </c>
      <c r="G423" s="7" t="s">
        <v>71</v>
      </c>
      <c r="H423" s="15" t="s">
        <v>71</v>
      </c>
    </row>
    <row r="424" spans="1:8" ht="14.45" customHeight="1" thickBot="1" x14ac:dyDescent="0.3">
      <c r="A424" s="67" t="str">
        <f t="shared" si="6"/>
        <v>Flow-Through Planter0.5Q2CFlatLake Wohlford</v>
      </c>
      <c r="B424" s="7" t="s">
        <v>77</v>
      </c>
      <c r="C424" s="7" t="s">
        <v>19</v>
      </c>
      <c r="D424" s="7" t="s">
        <v>55</v>
      </c>
      <c r="E424" s="7" t="s">
        <v>12</v>
      </c>
      <c r="F424" s="7">
        <v>7.0000000000000007E-2</v>
      </c>
      <c r="G424" s="7">
        <v>5.8299999999999998E-2</v>
      </c>
      <c r="H424" s="16">
        <v>4.2000000000000003E-2</v>
      </c>
    </row>
    <row r="425" spans="1:8" ht="14.45" customHeight="1" thickBot="1" x14ac:dyDescent="0.3">
      <c r="A425" s="67" t="str">
        <f t="shared" si="6"/>
        <v>Flow-Through Planter0.5Q2CModerateLake Wohlford</v>
      </c>
      <c r="B425" s="7" t="s">
        <v>77</v>
      </c>
      <c r="C425" s="7" t="s">
        <v>19</v>
      </c>
      <c r="D425" s="8" t="s">
        <v>16</v>
      </c>
      <c r="E425" s="7" t="s">
        <v>12</v>
      </c>
      <c r="F425" s="7">
        <v>7.0000000000000007E-2</v>
      </c>
      <c r="G425" s="7">
        <v>5.8299999999999998E-2</v>
      </c>
      <c r="H425" s="16">
        <v>4.2000000000000003E-2</v>
      </c>
    </row>
    <row r="426" spans="1:8" ht="14.45" customHeight="1" thickBot="1" x14ac:dyDescent="0.3">
      <c r="A426" s="67" t="str">
        <f t="shared" si="6"/>
        <v>Flow-Through Planter0.5Q2CSteepLake Wohlford</v>
      </c>
      <c r="B426" s="7" t="s">
        <v>77</v>
      </c>
      <c r="C426" s="7" t="s">
        <v>19</v>
      </c>
      <c r="D426" s="7" t="s">
        <v>17</v>
      </c>
      <c r="E426" s="7" t="s">
        <v>12</v>
      </c>
      <c r="F426" s="7">
        <v>0.05</v>
      </c>
      <c r="G426" s="7">
        <v>4.1700000000000001E-2</v>
      </c>
      <c r="H426" s="16">
        <v>0.03</v>
      </c>
    </row>
    <row r="427" spans="1:8" ht="14.45" customHeight="1" thickBot="1" x14ac:dyDescent="0.3">
      <c r="A427" s="67" t="str">
        <f t="shared" si="6"/>
        <v>Flow-Through Planter0.5Q2DFlatLake Wohlford</v>
      </c>
      <c r="B427" s="7" t="s">
        <v>77</v>
      </c>
      <c r="C427" s="7" t="s">
        <v>20</v>
      </c>
      <c r="D427" s="7" t="s">
        <v>55</v>
      </c>
      <c r="E427" s="7" t="s">
        <v>12</v>
      </c>
      <c r="F427" s="7">
        <v>5.5E-2</v>
      </c>
      <c r="G427" s="7">
        <v>4.58E-2</v>
      </c>
      <c r="H427" s="16">
        <v>3.3000000000000002E-2</v>
      </c>
    </row>
    <row r="428" spans="1:8" ht="14.45" customHeight="1" thickBot="1" x14ac:dyDescent="0.3">
      <c r="A428" s="67" t="str">
        <f t="shared" si="6"/>
        <v>Flow-Through Planter0.5Q2DModerateLake Wohlford</v>
      </c>
      <c r="B428" s="7" t="s">
        <v>77</v>
      </c>
      <c r="C428" s="7" t="s">
        <v>20</v>
      </c>
      <c r="D428" s="8" t="s">
        <v>16</v>
      </c>
      <c r="E428" s="7" t="s">
        <v>12</v>
      </c>
      <c r="F428" s="7">
        <v>5.5E-2</v>
      </c>
      <c r="G428" s="7">
        <v>4.58E-2</v>
      </c>
      <c r="H428" s="16">
        <v>3.3000000000000002E-2</v>
      </c>
    </row>
    <row r="429" spans="1:8" ht="14.45" customHeight="1" thickBot="1" x14ac:dyDescent="0.3">
      <c r="A429" s="67" t="str">
        <f t="shared" si="6"/>
        <v>Flow-Through Planter0.5Q2DSteepLake Wohlford</v>
      </c>
      <c r="B429" s="7" t="s">
        <v>77</v>
      </c>
      <c r="C429" s="7" t="s">
        <v>20</v>
      </c>
      <c r="D429" s="7" t="s">
        <v>17</v>
      </c>
      <c r="E429" s="7" t="s">
        <v>12</v>
      </c>
      <c r="F429" s="7">
        <v>4.4999999999999998E-2</v>
      </c>
      <c r="G429" s="7">
        <v>3.7499999999999999E-2</v>
      </c>
      <c r="H429" s="16">
        <v>2.7E-2</v>
      </c>
    </row>
    <row r="430" spans="1:8" ht="14.45" customHeight="1" thickBot="1" x14ac:dyDescent="0.3">
      <c r="A430" s="67" t="str">
        <f t="shared" si="6"/>
        <v>Flow-Through Planter0.3Q2AFlatLindbergh</v>
      </c>
      <c r="B430" s="7" t="s">
        <v>78</v>
      </c>
      <c r="C430" s="7" t="s">
        <v>13</v>
      </c>
      <c r="D430" s="7" t="s">
        <v>55</v>
      </c>
      <c r="E430" s="8" t="s">
        <v>24</v>
      </c>
      <c r="F430" s="7" t="s">
        <v>71</v>
      </c>
      <c r="G430" s="7" t="s">
        <v>71</v>
      </c>
      <c r="H430" s="15" t="s">
        <v>71</v>
      </c>
    </row>
    <row r="431" spans="1:8" ht="14.45" customHeight="1" thickBot="1" x14ac:dyDescent="0.3">
      <c r="A431" s="67" t="str">
        <f t="shared" si="6"/>
        <v>Flow-Through Planter0.3Q2AModerateLindbergh</v>
      </c>
      <c r="B431" s="7" t="s">
        <v>78</v>
      </c>
      <c r="C431" s="7" t="s">
        <v>13</v>
      </c>
      <c r="D431" s="8" t="s">
        <v>16</v>
      </c>
      <c r="E431" s="8" t="s">
        <v>24</v>
      </c>
      <c r="F431" s="7" t="s">
        <v>71</v>
      </c>
      <c r="G431" s="7" t="s">
        <v>71</v>
      </c>
      <c r="H431" s="15" t="s">
        <v>71</v>
      </c>
    </row>
    <row r="432" spans="1:8" ht="14.45" customHeight="1" thickBot="1" x14ac:dyDescent="0.3">
      <c r="A432" s="67" t="str">
        <f t="shared" si="6"/>
        <v>Flow-Through Planter0.3Q2ASteepLindbergh</v>
      </c>
      <c r="B432" s="7" t="s">
        <v>78</v>
      </c>
      <c r="C432" s="7" t="s">
        <v>13</v>
      </c>
      <c r="D432" s="7" t="s">
        <v>17</v>
      </c>
      <c r="E432" s="8" t="s">
        <v>24</v>
      </c>
      <c r="F432" s="7" t="s">
        <v>71</v>
      </c>
      <c r="G432" s="7" t="s">
        <v>71</v>
      </c>
      <c r="H432" s="15" t="s">
        <v>71</v>
      </c>
    </row>
    <row r="433" spans="1:8" ht="14.45" customHeight="1" thickBot="1" x14ac:dyDescent="0.3">
      <c r="A433" s="67" t="str">
        <f t="shared" si="6"/>
        <v>Flow-Through Planter0.3Q2BFlatLindbergh</v>
      </c>
      <c r="B433" s="7" t="s">
        <v>78</v>
      </c>
      <c r="C433" s="7" t="s">
        <v>18</v>
      </c>
      <c r="D433" s="7" t="s">
        <v>55</v>
      </c>
      <c r="E433" s="8" t="s">
        <v>24</v>
      </c>
      <c r="F433" s="7" t="s">
        <v>71</v>
      </c>
      <c r="G433" s="7" t="s">
        <v>71</v>
      </c>
      <c r="H433" s="15" t="s">
        <v>71</v>
      </c>
    </row>
    <row r="434" spans="1:8" ht="14.45" customHeight="1" thickBot="1" x14ac:dyDescent="0.3">
      <c r="A434" s="67" t="str">
        <f t="shared" si="6"/>
        <v>Flow-Through Planter0.3Q2BModerateLindbergh</v>
      </c>
      <c r="B434" s="7" t="s">
        <v>78</v>
      </c>
      <c r="C434" s="7" t="s">
        <v>18</v>
      </c>
      <c r="D434" s="8" t="s">
        <v>16</v>
      </c>
      <c r="E434" s="8" t="s">
        <v>24</v>
      </c>
      <c r="F434" s="7" t="s">
        <v>71</v>
      </c>
      <c r="G434" s="7" t="s">
        <v>71</v>
      </c>
      <c r="H434" s="15" t="s">
        <v>71</v>
      </c>
    </row>
    <row r="435" spans="1:8" ht="14.45" customHeight="1" thickBot="1" x14ac:dyDescent="0.3">
      <c r="A435" s="67" t="str">
        <f t="shared" si="6"/>
        <v>Flow-Through Planter0.3Q2BSteepLindbergh</v>
      </c>
      <c r="B435" s="7" t="s">
        <v>78</v>
      </c>
      <c r="C435" s="7" t="s">
        <v>18</v>
      </c>
      <c r="D435" s="7" t="s">
        <v>17</v>
      </c>
      <c r="E435" s="8" t="s">
        <v>24</v>
      </c>
      <c r="F435" s="7" t="s">
        <v>71</v>
      </c>
      <c r="G435" s="7" t="s">
        <v>71</v>
      </c>
      <c r="H435" s="15" t="s">
        <v>71</v>
      </c>
    </row>
    <row r="436" spans="1:8" ht="14.45" customHeight="1" thickBot="1" x14ac:dyDescent="0.3">
      <c r="A436" s="67" t="str">
        <f t="shared" si="6"/>
        <v>Flow-Through Planter0.3Q2CFlatLindbergh</v>
      </c>
      <c r="B436" s="7" t="s">
        <v>78</v>
      </c>
      <c r="C436" s="7" t="s">
        <v>19</v>
      </c>
      <c r="D436" s="7" t="s">
        <v>55</v>
      </c>
      <c r="E436" s="8" t="s">
        <v>24</v>
      </c>
      <c r="F436" s="7">
        <v>0.13</v>
      </c>
      <c r="G436" s="7">
        <v>0.10829999999999999</v>
      </c>
      <c r="H436" s="16">
        <v>7.8E-2</v>
      </c>
    </row>
    <row r="437" spans="1:8" ht="14.45" customHeight="1" thickBot="1" x14ac:dyDescent="0.3">
      <c r="A437" s="67" t="str">
        <f t="shared" si="6"/>
        <v>Flow-Through Planter0.3Q2CModerateLindbergh</v>
      </c>
      <c r="B437" s="7" t="s">
        <v>78</v>
      </c>
      <c r="C437" s="7" t="s">
        <v>19</v>
      </c>
      <c r="D437" s="8" t="s">
        <v>16</v>
      </c>
      <c r="E437" s="8" t="s">
        <v>24</v>
      </c>
      <c r="F437" s="7">
        <v>0.13</v>
      </c>
      <c r="G437" s="7">
        <v>0.10829999999999999</v>
      </c>
      <c r="H437" s="16">
        <v>7.8E-2</v>
      </c>
    </row>
    <row r="438" spans="1:8" ht="14.45" customHeight="1" thickBot="1" x14ac:dyDescent="0.3">
      <c r="A438" s="67" t="str">
        <f t="shared" si="6"/>
        <v>Flow-Through Planter0.3Q2CSteepLindbergh</v>
      </c>
      <c r="B438" s="7" t="s">
        <v>78</v>
      </c>
      <c r="C438" s="7" t="s">
        <v>19</v>
      </c>
      <c r="D438" s="7" t="s">
        <v>17</v>
      </c>
      <c r="E438" s="8" t="s">
        <v>24</v>
      </c>
      <c r="F438" s="7">
        <v>0.1</v>
      </c>
      <c r="G438" s="7">
        <v>8.3299999999999999E-2</v>
      </c>
      <c r="H438" s="16">
        <v>0.06</v>
      </c>
    </row>
    <row r="439" spans="1:8" ht="14.45" customHeight="1" thickBot="1" x14ac:dyDescent="0.3">
      <c r="A439" s="67" t="str">
        <f t="shared" si="6"/>
        <v>Flow-Through Planter0.3Q2DFlatLindbergh</v>
      </c>
      <c r="B439" s="7" t="s">
        <v>78</v>
      </c>
      <c r="C439" s="7" t="s">
        <v>20</v>
      </c>
      <c r="D439" s="7" t="s">
        <v>55</v>
      </c>
      <c r="E439" s="8" t="s">
        <v>24</v>
      </c>
      <c r="F439" s="7">
        <v>0.105</v>
      </c>
      <c r="G439" s="7">
        <v>8.7499999999999994E-2</v>
      </c>
      <c r="H439" s="16">
        <v>6.3E-2</v>
      </c>
    </row>
    <row r="440" spans="1:8" ht="14.45" customHeight="1" thickBot="1" x14ac:dyDescent="0.3">
      <c r="A440" s="67" t="str">
        <f t="shared" si="6"/>
        <v>Flow-Through Planter0.3Q2DModerateLindbergh</v>
      </c>
      <c r="B440" s="7" t="s">
        <v>78</v>
      </c>
      <c r="C440" s="7" t="s">
        <v>20</v>
      </c>
      <c r="D440" s="8" t="s">
        <v>16</v>
      </c>
      <c r="E440" s="8" t="s">
        <v>24</v>
      </c>
      <c r="F440" s="7">
        <v>0.105</v>
      </c>
      <c r="G440" s="7">
        <v>8.7499999999999994E-2</v>
      </c>
      <c r="H440" s="16">
        <v>6.3E-2</v>
      </c>
    </row>
    <row r="441" spans="1:8" ht="14.45" customHeight="1" thickBot="1" x14ac:dyDescent="0.3">
      <c r="A441" s="67" t="str">
        <f t="shared" si="6"/>
        <v>Flow-Through Planter0.3Q2DSteepLindbergh</v>
      </c>
      <c r="B441" s="7" t="s">
        <v>78</v>
      </c>
      <c r="C441" s="7" t="s">
        <v>20</v>
      </c>
      <c r="D441" s="7" t="s">
        <v>17</v>
      </c>
      <c r="E441" s="8" t="s">
        <v>24</v>
      </c>
      <c r="F441" s="7">
        <v>7.4999999999999997E-2</v>
      </c>
      <c r="G441" s="7">
        <v>6.25E-2</v>
      </c>
      <c r="H441" s="16">
        <v>4.4999999999999998E-2</v>
      </c>
    </row>
    <row r="442" spans="1:8" ht="14.45" customHeight="1" thickBot="1" x14ac:dyDescent="0.3">
      <c r="A442" s="67" t="str">
        <f t="shared" si="6"/>
        <v>Flow-Through Planter0.3Q2AFlatOceanside</v>
      </c>
      <c r="B442" s="7" t="s">
        <v>78</v>
      </c>
      <c r="C442" s="7" t="s">
        <v>13</v>
      </c>
      <c r="D442" s="7" t="s">
        <v>55</v>
      </c>
      <c r="E442" s="8" t="s">
        <v>23</v>
      </c>
      <c r="F442" s="7" t="s">
        <v>71</v>
      </c>
      <c r="G442" s="7" t="s">
        <v>71</v>
      </c>
      <c r="H442" s="15" t="s">
        <v>71</v>
      </c>
    </row>
    <row r="443" spans="1:8" ht="14.45" customHeight="1" thickBot="1" x14ac:dyDescent="0.3">
      <c r="A443" s="67" t="str">
        <f t="shared" si="6"/>
        <v>Flow-Through Planter0.3Q2AModerateOceanside</v>
      </c>
      <c r="B443" s="7" t="s">
        <v>78</v>
      </c>
      <c r="C443" s="7" t="s">
        <v>13</v>
      </c>
      <c r="D443" s="8" t="s">
        <v>16</v>
      </c>
      <c r="E443" s="8" t="s">
        <v>23</v>
      </c>
      <c r="F443" s="7" t="s">
        <v>71</v>
      </c>
      <c r="G443" s="7" t="s">
        <v>71</v>
      </c>
      <c r="H443" s="15" t="s">
        <v>71</v>
      </c>
    </row>
    <row r="444" spans="1:8" ht="14.45" customHeight="1" thickBot="1" x14ac:dyDescent="0.3">
      <c r="A444" s="67" t="str">
        <f t="shared" si="6"/>
        <v>Flow-Through Planter0.3Q2ASteepOceanside</v>
      </c>
      <c r="B444" s="7" t="s">
        <v>78</v>
      </c>
      <c r="C444" s="7" t="s">
        <v>13</v>
      </c>
      <c r="D444" s="7" t="s">
        <v>17</v>
      </c>
      <c r="E444" s="8" t="s">
        <v>23</v>
      </c>
      <c r="F444" s="7" t="s">
        <v>71</v>
      </c>
      <c r="G444" s="7" t="s">
        <v>71</v>
      </c>
      <c r="H444" s="15" t="s">
        <v>71</v>
      </c>
    </row>
    <row r="445" spans="1:8" ht="14.45" customHeight="1" thickBot="1" x14ac:dyDescent="0.3">
      <c r="A445" s="67" t="str">
        <f t="shared" si="6"/>
        <v>Flow-Through Planter0.3Q2BFlatOceanside</v>
      </c>
      <c r="B445" s="7" t="s">
        <v>78</v>
      </c>
      <c r="C445" s="7" t="s">
        <v>18</v>
      </c>
      <c r="D445" s="7" t="s">
        <v>55</v>
      </c>
      <c r="E445" s="8" t="s">
        <v>23</v>
      </c>
      <c r="F445" s="7" t="s">
        <v>71</v>
      </c>
      <c r="G445" s="7" t="s">
        <v>71</v>
      </c>
      <c r="H445" s="15" t="s">
        <v>71</v>
      </c>
    </row>
    <row r="446" spans="1:8" ht="14.45" customHeight="1" thickBot="1" x14ac:dyDescent="0.3">
      <c r="A446" s="67" t="str">
        <f t="shared" si="6"/>
        <v>Flow-Through Planter0.3Q2BModerateOceanside</v>
      </c>
      <c r="B446" s="7" t="s">
        <v>78</v>
      </c>
      <c r="C446" s="7" t="s">
        <v>18</v>
      </c>
      <c r="D446" s="8" t="s">
        <v>16</v>
      </c>
      <c r="E446" s="8" t="s">
        <v>23</v>
      </c>
      <c r="F446" s="7" t="s">
        <v>71</v>
      </c>
      <c r="G446" s="7" t="s">
        <v>71</v>
      </c>
      <c r="H446" s="15" t="s">
        <v>71</v>
      </c>
    </row>
    <row r="447" spans="1:8" ht="14.45" customHeight="1" thickBot="1" x14ac:dyDescent="0.3">
      <c r="A447" s="67" t="str">
        <f t="shared" si="6"/>
        <v>Flow-Through Planter0.3Q2BSteepOceanside</v>
      </c>
      <c r="B447" s="7" t="s">
        <v>78</v>
      </c>
      <c r="C447" s="7" t="s">
        <v>18</v>
      </c>
      <c r="D447" s="7" t="s">
        <v>17</v>
      </c>
      <c r="E447" s="8" t="s">
        <v>23</v>
      </c>
      <c r="F447" s="7" t="s">
        <v>71</v>
      </c>
      <c r="G447" s="7" t="s">
        <v>71</v>
      </c>
      <c r="H447" s="15" t="s">
        <v>71</v>
      </c>
    </row>
    <row r="448" spans="1:8" ht="14.45" customHeight="1" thickBot="1" x14ac:dyDescent="0.3">
      <c r="A448" s="67" t="str">
        <f t="shared" si="6"/>
        <v>Flow-Through Planter0.3Q2CFlatOceanside</v>
      </c>
      <c r="B448" s="7" t="s">
        <v>78</v>
      </c>
      <c r="C448" s="7" t="s">
        <v>19</v>
      </c>
      <c r="D448" s="7" t="s">
        <v>55</v>
      </c>
      <c r="E448" s="8" t="s">
        <v>23</v>
      </c>
      <c r="F448" s="7">
        <v>0.105</v>
      </c>
      <c r="G448" s="7">
        <v>8.7499999999999994E-2</v>
      </c>
      <c r="H448" s="16">
        <v>6.3E-2</v>
      </c>
    </row>
    <row r="449" spans="1:8" ht="14.45" customHeight="1" thickBot="1" x14ac:dyDescent="0.3">
      <c r="A449" s="67" t="str">
        <f t="shared" si="6"/>
        <v>Flow-Through Planter0.3Q2CModerateOceanside</v>
      </c>
      <c r="B449" s="7" t="s">
        <v>78</v>
      </c>
      <c r="C449" s="7" t="s">
        <v>19</v>
      </c>
      <c r="D449" s="8" t="s">
        <v>16</v>
      </c>
      <c r="E449" s="8" t="s">
        <v>23</v>
      </c>
      <c r="F449" s="7">
        <v>0.105</v>
      </c>
      <c r="G449" s="7">
        <v>8.7499999999999994E-2</v>
      </c>
      <c r="H449" s="16">
        <v>6.3E-2</v>
      </c>
    </row>
    <row r="450" spans="1:8" ht="14.45" customHeight="1" thickBot="1" x14ac:dyDescent="0.3">
      <c r="A450" s="67" t="str">
        <f t="shared" si="6"/>
        <v>Flow-Through Planter0.3Q2CSteepOceanside</v>
      </c>
      <c r="B450" s="7" t="s">
        <v>78</v>
      </c>
      <c r="C450" s="7" t="s">
        <v>19</v>
      </c>
      <c r="D450" s="7" t="s">
        <v>17</v>
      </c>
      <c r="E450" s="8" t="s">
        <v>23</v>
      </c>
      <c r="F450" s="7">
        <v>8.5000000000000006E-2</v>
      </c>
      <c r="G450" s="7">
        <v>7.0800000000000002E-2</v>
      </c>
      <c r="H450" s="16">
        <v>5.0999999999999997E-2</v>
      </c>
    </row>
    <row r="451" spans="1:8" ht="14.45" customHeight="1" thickBot="1" x14ac:dyDescent="0.3">
      <c r="A451" s="67" t="str">
        <f t="shared" si="6"/>
        <v>Flow-Through Planter0.3Q2DFlatOceanside</v>
      </c>
      <c r="B451" s="7" t="s">
        <v>78</v>
      </c>
      <c r="C451" s="7" t="s">
        <v>20</v>
      </c>
      <c r="D451" s="7" t="s">
        <v>55</v>
      </c>
      <c r="E451" s="8" t="s">
        <v>23</v>
      </c>
      <c r="F451" s="7">
        <v>0.09</v>
      </c>
      <c r="G451" s="7">
        <v>7.4999999999999997E-2</v>
      </c>
      <c r="H451" s="16">
        <v>5.3999999999999999E-2</v>
      </c>
    </row>
    <row r="452" spans="1:8" ht="14.45" customHeight="1" thickBot="1" x14ac:dyDescent="0.3">
      <c r="A452" s="67" t="str">
        <f t="shared" si="6"/>
        <v>Flow-Through Planter0.3Q2DModerateOceanside</v>
      </c>
      <c r="B452" s="7" t="s">
        <v>78</v>
      </c>
      <c r="C452" s="7" t="s">
        <v>20</v>
      </c>
      <c r="D452" s="8" t="s">
        <v>16</v>
      </c>
      <c r="E452" s="8" t="s">
        <v>23</v>
      </c>
      <c r="F452" s="7">
        <v>0.09</v>
      </c>
      <c r="G452" s="7">
        <v>7.4999999999999997E-2</v>
      </c>
      <c r="H452" s="16">
        <v>5.3999999999999999E-2</v>
      </c>
    </row>
    <row r="453" spans="1:8" ht="14.45" customHeight="1" thickBot="1" x14ac:dyDescent="0.3">
      <c r="A453" s="67" t="str">
        <f t="shared" si="6"/>
        <v>Flow-Through Planter0.3Q2DSteepOceanside</v>
      </c>
      <c r="B453" s="7" t="s">
        <v>78</v>
      </c>
      <c r="C453" s="7" t="s">
        <v>20</v>
      </c>
      <c r="D453" s="7" t="s">
        <v>17</v>
      </c>
      <c r="E453" s="8" t="s">
        <v>23</v>
      </c>
      <c r="F453" s="7">
        <v>7.0000000000000007E-2</v>
      </c>
      <c r="G453" s="7">
        <v>5.8299999999999998E-2</v>
      </c>
      <c r="H453" s="16">
        <v>4.2000000000000003E-2</v>
      </c>
    </row>
    <row r="454" spans="1:8" ht="14.45" customHeight="1" thickBot="1" x14ac:dyDescent="0.3">
      <c r="A454" s="67" t="str">
        <f t="shared" si="6"/>
        <v>Flow-Through Planter0.3Q2AFlatLake Wohlford</v>
      </c>
      <c r="B454" s="7" t="s">
        <v>78</v>
      </c>
      <c r="C454" s="7" t="s">
        <v>13</v>
      </c>
      <c r="D454" s="7" t="s">
        <v>55</v>
      </c>
      <c r="E454" s="7" t="s">
        <v>12</v>
      </c>
      <c r="F454" s="7" t="s">
        <v>71</v>
      </c>
      <c r="G454" s="7" t="s">
        <v>71</v>
      </c>
      <c r="H454" s="15" t="s">
        <v>71</v>
      </c>
    </row>
    <row r="455" spans="1:8" ht="14.45" customHeight="1" thickBot="1" x14ac:dyDescent="0.3">
      <c r="A455" s="67" t="str">
        <f t="shared" si="6"/>
        <v>Flow-Through Planter0.3Q2AModerateLake Wohlford</v>
      </c>
      <c r="B455" s="7" t="s">
        <v>78</v>
      </c>
      <c r="C455" s="7" t="s">
        <v>13</v>
      </c>
      <c r="D455" s="8" t="s">
        <v>16</v>
      </c>
      <c r="E455" s="7" t="s">
        <v>12</v>
      </c>
      <c r="F455" s="7" t="s">
        <v>71</v>
      </c>
      <c r="G455" s="7" t="s">
        <v>71</v>
      </c>
      <c r="H455" s="15" t="s">
        <v>71</v>
      </c>
    </row>
    <row r="456" spans="1:8" ht="14.45" customHeight="1" thickBot="1" x14ac:dyDescent="0.3">
      <c r="A456" s="67" t="str">
        <f t="shared" si="6"/>
        <v>Flow-Through Planter0.3Q2ASteepLake Wohlford</v>
      </c>
      <c r="B456" s="7" t="s">
        <v>78</v>
      </c>
      <c r="C456" s="7" t="s">
        <v>13</v>
      </c>
      <c r="D456" s="7" t="s">
        <v>17</v>
      </c>
      <c r="E456" s="7" t="s">
        <v>12</v>
      </c>
      <c r="F456" s="7" t="s">
        <v>71</v>
      </c>
      <c r="G456" s="7" t="s">
        <v>71</v>
      </c>
      <c r="H456" s="15" t="s">
        <v>71</v>
      </c>
    </row>
    <row r="457" spans="1:8" ht="14.45" customHeight="1" thickBot="1" x14ac:dyDescent="0.3">
      <c r="A457" s="67" t="str">
        <f t="shared" si="6"/>
        <v>Flow-Through Planter0.3Q2BFlatLake Wohlford</v>
      </c>
      <c r="B457" s="7" t="s">
        <v>78</v>
      </c>
      <c r="C457" s="7" t="s">
        <v>18</v>
      </c>
      <c r="D457" s="7" t="s">
        <v>55</v>
      </c>
      <c r="E457" s="7" t="s">
        <v>12</v>
      </c>
      <c r="F457" s="7" t="s">
        <v>71</v>
      </c>
      <c r="G457" s="7" t="s">
        <v>71</v>
      </c>
      <c r="H457" s="15" t="s">
        <v>71</v>
      </c>
    </row>
    <row r="458" spans="1:8" ht="14.45" customHeight="1" thickBot="1" x14ac:dyDescent="0.3">
      <c r="A458" s="67" t="str">
        <f t="shared" si="6"/>
        <v>Flow-Through Planter0.3Q2BModerateLake Wohlford</v>
      </c>
      <c r="B458" s="7" t="s">
        <v>78</v>
      </c>
      <c r="C458" s="7" t="s">
        <v>18</v>
      </c>
      <c r="D458" s="8" t="s">
        <v>16</v>
      </c>
      <c r="E458" s="7" t="s">
        <v>12</v>
      </c>
      <c r="F458" s="7" t="s">
        <v>71</v>
      </c>
      <c r="G458" s="7" t="s">
        <v>71</v>
      </c>
      <c r="H458" s="15" t="s">
        <v>71</v>
      </c>
    </row>
    <row r="459" spans="1:8" ht="14.45" customHeight="1" thickBot="1" x14ac:dyDescent="0.3">
      <c r="A459" s="67" t="str">
        <f t="shared" ref="A459:A501" si="7">CONCATENATE(A$43,B459,C459,D459,E459)</f>
        <v>Flow-Through Planter0.3Q2BSteepLake Wohlford</v>
      </c>
      <c r="B459" s="7" t="s">
        <v>78</v>
      </c>
      <c r="C459" s="7" t="s">
        <v>18</v>
      </c>
      <c r="D459" s="7" t="s">
        <v>17</v>
      </c>
      <c r="E459" s="7" t="s">
        <v>12</v>
      </c>
      <c r="F459" s="7" t="s">
        <v>71</v>
      </c>
      <c r="G459" s="7" t="s">
        <v>71</v>
      </c>
      <c r="H459" s="15" t="s">
        <v>71</v>
      </c>
    </row>
    <row r="460" spans="1:8" ht="14.45" customHeight="1" thickBot="1" x14ac:dyDescent="0.3">
      <c r="A460" s="67" t="str">
        <f t="shared" si="7"/>
        <v>Flow-Through Planter0.3Q2CFlatLake Wohlford</v>
      </c>
      <c r="B460" s="7" t="s">
        <v>78</v>
      </c>
      <c r="C460" s="7" t="s">
        <v>19</v>
      </c>
      <c r="D460" s="7" t="s">
        <v>55</v>
      </c>
      <c r="E460" s="7" t="s">
        <v>12</v>
      </c>
      <c r="F460" s="7">
        <v>8.5000000000000006E-2</v>
      </c>
      <c r="G460" s="7">
        <v>7.0800000000000002E-2</v>
      </c>
      <c r="H460" s="16">
        <v>5.0999999999999997E-2</v>
      </c>
    </row>
    <row r="461" spans="1:8" ht="14.45" customHeight="1" thickBot="1" x14ac:dyDescent="0.3">
      <c r="A461" s="67" t="str">
        <f t="shared" si="7"/>
        <v>Flow-Through Planter0.3Q2CModerateLake Wohlford</v>
      </c>
      <c r="B461" s="7" t="s">
        <v>78</v>
      </c>
      <c r="C461" s="7" t="s">
        <v>19</v>
      </c>
      <c r="D461" s="8" t="s">
        <v>16</v>
      </c>
      <c r="E461" s="7" t="s">
        <v>12</v>
      </c>
      <c r="F461" s="7">
        <v>8.5000000000000006E-2</v>
      </c>
      <c r="G461" s="7">
        <v>7.0800000000000002E-2</v>
      </c>
      <c r="H461" s="16">
        <v>5.0999999999999997E-2</v>
      </c>
    </row>
    <row r="462" spans="1:8" ht="14.45" customHeight="1" thickBot="1" x14ac:dyDescent="0.3">
      <c r="A462" s="67" t="str">
        <f t="shared" si="7"/>
        <v>Flow-Through Planter0.3Q2CSteepLake Wohlford</v>
      </c>
      <c r="B462" s="7" t="s">
        <v>78</v>
      </c>
      <c r="C462" s="7" t="s">
        <v>19</v>
      </c>
      <c r="D462" s="7" t="s">
        <v>17</v>
      </c>
      <c r="E462" s="7" t="s">
        <v>12</v>
      </c>
      <c r="F462" s="7">
        <v>0.06</v>
      </c>
      <c r="G462" s="7">
        <v>0.05</v>
      </c>
      <c r="H462" s="16">
        <v>3.5999999999999997E-2</v>
      </c>
    </row>
    <row r="463" spans="1:8" ht="14.45" customHeight="1" thickBot="1" x14ac:dyDescent="0.3">
      <c r="A463" s="67" t="str">
        <f t="shared" si="7"/>
        <v>Flow-Through Planter0.3Q2DFlatLake Wohlford</v>
      </c>
      <c r="B463" s="7" t="s">
        <v>78</v>
      </c>
      <c r="C463" s="7" t="s">
        <v>20</v>
      </c>
      <c r="D463" s="7" t="s">
        <v>55</v>
      </c>
      <c r="E463" s="7" t="s">
        <v>12</v>
      </c>
      <c r="F463" s="7">
        <v>6.5000000000000002E-2</v>
      </c>
      <c r="G463" s="7">
        <v>5.4199999999999998E-2</v>
      </c>
      <c r="H463" s="16">
        <v>3.9E-2</v>
      </c>
    </row>
    <row r="464" spans="1:8" ht="14.45" customHeight="1" thickBot="1" x14ac:dyDescent="0.3">
      <c r="A464" s="67" t="str">
        <f t="shared" si="7"/>
        <v>Flow-Through Planter0.3Q2DModerateLake Wohlford</v>
      </c>
      <c r="B464" s="7" t="s">
        <v>78</v>
      </c>
      <c r="C464" s="7" t="s">
        <v>20</v>
      </c>
      <c r="D464" s="8" t="s">
        <v>16</v>
      </c>
      <c r="E464" s="7" t="s">
        <v>12</v>
      </c>
      <c r="F464" s="7">
        <v>6.5000000000000002E-2</v>
      </c>
      <c r="G464" s="7">
        <v>5.4199999999999998E-2</v>
      </c>
      <c r="H464" s="16">
        <v>3.9E-2</v>
      </c>
    </row>
    <row r="465" spans="1:8" ht="14.45" customHeight="1" thickBot="1" x14ac:dyDescent="0.3">
      <c r="A465" s="67" t="str">
        <f t="shared" si="7"/>
        <v>Flow-Through Planter0.3Q2DSteepLake Wohlford</v>
      </c>
      <c r="B465" s="7" t="s">
        <v>78</v>
      </c>
      <c r="C465" s="7" t="s">
        <v>20</v>
      </c>
      <c r="D465" s="7" t="s">
        <v>17</v>
      </c>
      <c r="E465" s="7" t="s">
        <v>12</v>
      </c>
      <c r="F465" s="7">
        <v>0.05</v>
      </c>
      <c r="G465" s="7">
        <v>4.1700000000000001E-2</v>
      </c>
      <c r="H465" s="16">
        <v>0.03</v>
      </c>
    </row>
    <row r="466" spans="1:8" ht="14.45" customHeight="1" thickBot="1" x14ac:dyDescent="0.3">
      <c r="A466" s="67" t="str">
        <f t="shared" si="7"/>
        <v>Flow-Through Planter0.1Q2AFlatLindbergh</v>
      </c>
      <c r="B466" s="7" t="s">
        <v>79</v>
      </c>
      <c r="C466" s="7" t="s">
        <v>13</v>
      </c>
      <c r="D466" s="7" t="s">
        <v>55</v>
      </c>
      <c r="E466" s="8" t="s">
        <v>24</v>
      </c>
      <c r="F466" s="7" t="s">
        <v>71</v>
      </c>
      <c r="G466" s="7" t="s">
        <v>71</v>
      </c>
      <c r="H466" s="15" t="s">
        <v>71</v>
      </c>
    </row>
    <row r="467" spans="1:8" ht="14.45" customHeight="1" thickBot="1" x14ac:dyDescent="0.3">
      <c r="A467" s="67" t="str">
        <f t="shared" si="7"/>
        <v>Flow-Through Planter0.1Q2AModerateLindbergh</v>
      </c>
      <c r="B467" s="7" t="s">
        <v>79</v>
      </c>
      <c r="C467" s="7" t="s">
        <v>13</v>
      </c>
      <c r="D467" s="8" t="s">
        <v>16</v>
      </c>
      <c r="E467" s="8" t="s">
        <v>24</v>
      </c>
      <c r="F467" s="7" t="s">
        <v>71</v>
      </c>
      <c r="G467" s="7" t="s">
        <v>71</v>
      </c>
      <c r="H467" s="15" t="s">
        <v>71</v>
      </c>
    </row>
    <row r="468" spans="1:8" ht="14.45" customHeight="1" thickBot="1" x14ac:dyDescent="0.3">
      <c r="A468" s="67" t="str">
        <f t="shared" si="7"/>
        <v>Flow-Through Planter0.1Q2ASteepLindbergh</v>
      </c>
      <c r="B468" s="7" t="s">
        <v>79</v>
      </c>
      <c r="C468" s="7" t="s">
        <v>13</v>
      </c>
      <c r="D468" s="7" t="s">
        <v>17</v>
      </c>
      <c r="E468" s="8" t="s">
        <v>24</v>
      </c>
      <c r="F468" s="7" t="s">
        <v>71</v>
      </c>
      <c r="G468" s="7" t="s">
        <v>71</v>
      </c>
      <c r="H468" s="15" t="s">
        <v>71</v>
      </c>
    </row>
    <row r="469" spans="1:8" ht="14.45" customHeight="1" thickBot="1" x14ac:dyDescent="0.3">
      <c r="A469" s="67" t="str">
        <f t="shared" si="7"/>
        <v>Flow-Through Planter0.1Q2BFlatLindbergh</v>
      </c>
      <c r="B469" s="7" t="s">
        <v>79</v>
      </c>
      <c r="C469" s="7" t="s">
        <v>18</v>
      </c>
      <c r="D469" s="7" t="s">
        <v>55</v>
      </c>
      <c r="E469" s="8" t="s">
        <v>24</v>
      </c>
      <c r="F469" s="7" t="s">
        <v>71</v>
      </c>
      <c r="G469" s="7" t="s">
        <v>71</v>
      </c>
      <c r="H469" s="15" t="s">
        <v>71</v>
      </c>
    </row>
    <row r="470" spans="1:8" ht="14.45" customHeight="1" thickBot="1" x14ac:dyDescent="0.3">
      <c r="A470" s="67" t="str">
        <f t="shared" si="7"/>
        <v>Flow-Through Planter0.1Q2BModerateLindbergh</v>
      </c>
      <c r="B470" s="7" t="s">
        <v>79</v>
      </c>
      <c r="C470" s="7" t="s">
        <v>18</v>
      </c>
      <c r="D470" s="8" t="s">
        <v>16</v>
      </c>
      <c r="E470" s="8" t="s">
        <v>24</v>
      </c>
      <c r="F470" s="7" t="s">
        <v>71</v>
      </c>
      <c r="G470" s="7" t="s">
        <v>71</v>
      </c>
      <c r="H470" s="15" t="s">
        <v>71</v>
      </c>
    </row>
    <row r="471" spans="1:8" ht="14.45" customHeight="1" thickBot="1" x14ac:dyDescent="0.3">
      <c r="A471" s="67" t="str">
        <f t="shared" si="7"/>
        <v>Flow-Through Planter0.1Q2BSteepLindbergh</v>
      </c>
      <c r="B471" s="7" t="s">
        <v>79</v>
      </c>
      <c r="C471" s="7" t="s">
        <v>18</v>
      </c>
      <c r="D471" s="7" t="s">
        <v>17</v>
      </c>
      <c r="E471" s="8" t="s">
        <v>24</v>
      </c>
      <c r="F471" s="7" t="s">
        <v>71</v>
      </c>
      <c r="G471" s="7" t="s">
        <v>71</v>
      </c>
      <c r="H471" s="15" t="s">
        <v>71</v>
      </c>
    </row>
    <row r="472" spans="1:8" ht="14.45" customHeight="1" thickBot="1" x14ac:dyDescent="0.3">
      <c r="A472" s="67" t="str">
        <f t="shared" si="7"/>
        <v>Flow-Through Planter0.1Q2CFlatLindbergh</v>
      </c>
      <c r="B472" s="7" t="s">
        <v>79</v>
      </c>
      <c r="C472" s="7" t="s">
        <v>19</v>
      </c>
      <c r="D472" s="7" t="s">
        <v>55</v>
      </c>
      <c r="E472" s="8" t="s">
        <v>24</v>
      </c>
      <c r="F472" s="7">
        <v>0.25</v>
      </c>
      <c r="G472" s="7">
        <v>0.20830000000000001</v>
      </c>
      <c r="H472" s="16">
        <v>0.15</v>
      </c>
    </row>
    <row r="473" spans="1:8" ht="14.45" customHeight="1" thickBot="1" x14ac:dyDescent="0.3">
      <c r="A473" s="67" t="str">
        <f t="shared" si="7"/>
        <v>Flow-Through Planter0.1Q2CModerateLindbergh</v>
      </c>
      <c r="B473" s="7" t="s">
        <v>79</v>
      </c>
      <c r="C473" s="7" t="s">
        <v>19</v>
      </c>
      <c r="D473" s="8" t="s">
        <v>16</v>
      </c>
      <c r="E473" s="8" t="s">
        <v>24</v>
      </c>
      <c r="F473" s="7">
        <v>0.25</v>
      </c>
      <c r="G473" s="7">
        <v>0.20830000000000001</v>
      </c>
      <c r="H473" s="16">
        <v>0.15</v>
      </c>
    </row>
    <row r="474" spans="1:8" ht="14.45" customHeight="1" thickBot="1" x14ac:dyDescent="0.3">
      <c r="A474" s="67" t="str">
        <f t="shared" si="7"/>
        <v>Flow-Through Planter0.1Q2CSteepLindbergh</v>
      </c>
      <c r="B474" s="7" t="s">
        <v>79</v>
      </c>
      <c r="C474" s="7" t="s">
        <v>19</v>
      </c>
      <c r="D474" s="7" t="s">
        <v>17</v>
      </c>
      <c r="E474" s="8" t="s">
        <v>24</v>
      </c>
      <c r="F474" s="7">
        <v>0.185</v>
      </c>
      <c r="G474" s="7">
        <v>0.1542</v>
      </c>
      <c r="H474" s="16">
        <v>0.111</v>
      </c>
    </row>
    <row r="475" spans="1:8" ht="14.45" customHeight="1" thickBot="1" x14ac:dyDescent="0.3">
      <c r="A475" s="67" t="str">
        <f t="shared" si="7"/>
        <v>Flow-Through Planter0.1Q2DFlatLindbergh</v>
      </c>
      <c r="B475" s="7" t="s">
        <v>79</v>
      </c>
      <c r="C475" s="7" t="s">
        <v>20</v>
      </c>
      <c r="D475" s="7" t="s">
        <v>55</v>
      </c>
      <c r="E475" s="8" t="s">
        <v>24</v>
      </c>
      <c r="F475" s="7">
        <v>0.2</v>
      </c>
      <c r="G475" s="7">
        <v>0.16669999999999999</v>
      </c>
      <c r="H475" s="16">
        <v>0.12</v>
      </c>
    </row>
    <row r="476" spans="1:8" ht="14.45" customHeight="1" thickBot="1" x14ac:dyDescent="0.3">
      <c r="A476" s="67" t="str">
        <f t="shared" si="7"/>
        <v>Flow-Through Planter0.1Q2DModerateLindbergh</v>
      </c>
      <c r="B476" s="7" t="s">
        <v>79</v>
      </c>
      <c r="C476" s="7" t="s">
        <v>20</v>
      </c>
      <c r="D476" s="8" t="s">
        <v>16</v>
      </c>
      <c r="E476" s="8" t="s">
        <v>24</v>
      </c>
      <c r="F476" s="7">
        <v>0.2</v>
      </c>
      <c r="G476" s="7">
        <v>0.16669999999999999</v>
      </c>
      <c r="H476" s="16">
        <v>0.12</v>
      </c>
    </row>
    <row r="477" spans="1:8" ht="14.45" customHeight="1" thickBot="1" x14ac:dyDescent="0.3">
      <c r="A477" s="67" t="str">
        <f t="shared" si="7"/>
        <v>Flow-Through Planter0.1Q2DSteepLindbergh</v>
      </c>
      <c r="B477" s="7" t="s">
        <v>79</v>
      </c>
      <c r="C477" s="7" t="s">
        <v>20</v>
      </c>
      <c r="D477" s="7" t="s">
        <v>17</v>
      </c>
      <c r="E477" s="8" t="s">
        <v>24</v>
      </c>
      <c r="F477" s="7">
        <v>0.13</v>
      </c>
      <c r="G477" s="7">
        <v>0.10829999999999999</v>
      </c>
      <c r="H477" s="16">
        <v>7.8E-2</v>
      </c>
    </row>
    <row r="478" spans="1:8" ht="14.45" customHeight="1" thickBot="1" x14ac:dyDescent="0.3">
      <c r="A478" s="67" t="str">
        <f t="shared" si="7"/>
        <v>Flow-Through Planter0.1Q2AFlatOceanside</v>
      </c>
      <c r="B478" s="7" t="s">
        <v>79</v>
      </c>
      <c r="C478" s="7" t="s">
        <v>13</v>
      </c>
      <c r="D478" s="7" t="s">
        <v>55</v>
      </c>
      <c r="E478" s="8" t="s">
        <v>23</v>
      </c>
      <c r="F478" s="7" t="s">
        <v>71</v>
      </c>
      <c r="G478" s="7" t="s">
        <v>71</v>
      </c>
      <c r="H478" s="15" t="s">
        <v>71</v>
      </c>
    </row>
    <row r="479" spans="1:8" ht="14.45" customHeight="1" thickBot="1" x14ac:dyDescent="0.3">
      <c r="A479" s="67" t="str">
        <f t="shared" si="7"/>
        <v>Flow-Through Planter0.1Q2AModerateOceanside</v>
      </c>
      <c r="B479" s="7" t="s">
        <v>79</v>
      </c>
      <c r="C479" s="7" t="s">
        <v>13</v>
      </c>
      <c r="D479" s="8" t="s">
        <v>16</v>
      </c>
      <c r="E479" s="8" t="s">
        <v>23</v>
      </c>
      <c r="F479" s="7" t="s">
        <v>71</v>
      </c>
      <c r="G479" s="7" t="s">
        <v>71</v>
      </c>
      <c r="H479" s="15" t="s">
        <v>71</v>
      </c>
    </row>
    <row r="480" spans="1:8" ht="14.45" customHeight="1" thickBot="1" x14ac:dyDescent="0.3">
      <c r="A480" s="67" t="str">
        <f t="shared" si="7"/>
        <v>Flow-Through Planter0.1Q2ASteepOceanside</v>
      </c>
      <c r="B480" s="7" t="s">
        <v>79</v>
      </c>
      <c r="C480" s="7" t="s">
        <v>13</v>
      </c>
      <c r="D480" s="7" t="s">
        <v>17</v>
      </c>
      <c r="E480" s="8" t="s">
        <v>23</v>
      </c>
      <c r="F480" s="7" t="s">
        <v>71</v>
      </c>
      <c r="G480" s="7" t="s">
        <v>71</v>
      </c>
      <c r="H480" s="15" t="s">
        <v>71</v>
      </c>
    </row>
    <row r="481" spans="1:8" ht="14.45" customHeight="1" thickBot="1" x14ac:dyDescent="0.3">
      <c r="A481" s="67" t="str">
        <f t="shared" si="7"/>
        <v>Flow-Through Planter0.1Q2BFlatOceanside</v>
      </c>
      <c r="B481" s="7" t="s">
        <v>79</v>
      </c>
      <c r="C481" s="7" t="s">
        <v>18</v>
      </c>
      <c r="D481" s="7" t="s">
        <v>55</v>
      </c>
      <c r="E481" s="8" t="s">
        <v>23</v>
      </c>
      <c r="F481" s="7" t="s">
        <v>71</v>
      </c>
      <c r="G481" s="7" t="s">
        <v>71</v>
      </c>
      <c r="H481" s="15" t="s">
        <v>71</v>
      </c>
    </row>
    <row r="482" spans="1:8" ht="14.45" customHeight="1" thickBot="1" x14ac:dyDescent="0.3">
      <c r="A482" s="67" t="str">
        <f t="shared" si="7"/>
        <v>Flow-Through Planter0.1Q2BModerateOceanside</v>
      </c>
      <c r="B482" s="7" t="s">
        <v>79</v>
      </c>
      <c r="C482" s="7" t="s">
        <v>18</v>
      </c>
      <c r="D482" s="8" t="s">
        <v>16</v>
      </c>
      <c r="E482" s="8" t="s">
        <v>23</v>
      </c>
      <c r="F482" s="7" t="s">
        <v>71</v>
      </c>
      <c r="G482" s="7" t="s">
        <v>71</v>
      </c>
      <c r="H482" s="15" t="s">
        <v>71</v>
      </c>
    </row>
    <row r="483" spans="1:8" ht="14.45" customHeight="1" thickBot="1" x14ac:dyDescent="0.3">
      <c r="A483" s="67" t="str">
        <f t="shared" si="7"/>
        <v>Flow-Through Planter0.1Q2BSteepOceanside</v>
      </c>
      <c r="B483" s="7" t="s">
        <v>79</v>
      </c>
      <c r="C483" s="7" t="s">
        <v>18</v>
      </c>
      <c r="D483" s="7" t="s">
        <v>17</v>
      </c>
      <c r="E483" s="8" t="s">
        <v>23</v>
      </c>
      <c r="F483" s="7" t="s">
        <v>71</v>
      </c>
      <c r="G483" s="7" t="s">
        <v>71</v>
      </c>
      <c r="H483" s="15" t="s">
        <v>71</v>
      </c>
    </row>
    <row r="484" spans="1:8" ht="14.45" customHeight="1" thickBot="1" x14ac:dyDescent="0.3">
      <c r="A484" s="67" t="str">
        <f t="shared" si="7"/>
        <v>Flow-Through Planter0.1Q2CFlatOceanside</v>
      </c>
      <c r="B484" s="7" t="s">
        <v>79</v>
      </c>
      <c r="C484" s="7" t="s">
        <v>19</v>
      </c>
      <c r="D484" s="7" t="s">
        <v>55</v>
      </c>
      <c r="E484" s="8" t="s">
        <v>23</v>
      </c>
      <c r="F484" s="7">
        <v>0.19</v>
      </c>
      <c r="G484" s="7">
        <v>0.1583</v>
      </c>
      <c r="H484" s="16">
        <v>0.114</v>
      </c>
    </row>
    <row r="485" spans="1:8" ht="14.45" customHeight="1" thickBot="1" x14ac:dyDescent="0.3">
      <c r="A485" s="67" t="str">
        <f t="shared" si="7"/>
        <v>Flow-Through Planter0.1Q2CModerateOceanside</v>
      </c>
      <c r="B485" s="7" t="s">
        <v>79</v>
      </c>
      <c r="C485" s="7" t="s">
        <v>19</v>
      </c>
      <c r="D485" s="8" t="s">
        <v>16</v>
      </c>
      <c r="E485" s="8" t="s">
        <v>23</v>
      </c>
      <c r="F485" s="7">
        <v>0.19</v>
      </c>
      <c r="G485" s="7">
        <v>0.1583</v>
      </c>
      <c r="H485" s="16">
        <v>0.114</v>
      </c>
    </row>
    <row r="486" spans="1:8" ht="14.45" customHeight="1" thickBot="1" x14ac:dyDescent="0.3">
      <c r="A486" s="67" t="str">
        <f t="shared" si="7"/>
        <v>Flow-Through Planter0.1Q2CSteepOceanside</v>
      </c>
      <c r="B486" s="7" t="s">
        <v>79</v>
      </c>
      <c r="C486" s="7" t="s">
        <v>19</v>
      </c>
      <c r="D486" s="7" t="s">
        <v>17</v>
      </c>
      <c r="E486" s="8" t="s">
        <v>23</v>
      </c>
      <c r="F486" s="7">
        <v>0.14000000000000001</v>
      </c>
      <c r="G486" s="7">
        <v>0.1167</v>
      </c>
      <c r="H486" s="16">
        <v>8.4000000000000005E-2</v>
      </c>
    </row>
    <row r="487" spans="1:8" ht="14.45" customHeight="1" thickBot="1" x14ac:dyDescent="0.3">
      <c r="A487" s="67" t="str">
        <f t="shared" si="7"/>
        <v>Flow-Through Planter0.1Q2DFlatOceanside</v>
      </c>
      <c r="B487" s="7" t="s">
        <v>79</v>
      </c>
      <c r="C487" s="7" t="s">
        <v>20</v>
      </c>
      <c r="D487" s="7" t="s">
        <v>55</v>
      </c>
      <c r="E487" s="8" t="s">
        <v>23</v>
      </c>
      <c r="F487" s="7">
        <v>0.16</v>
      </c>
      <c r="G487" s="7">
        <v>0.1333</v>
      </c>
      <c r="H487" s="16">
        <v>9.6000000000000002E-2</v>
      </c>
    </row>
    <row r="488" spans="1:8" ht="14.45" customHeight="1" thickBot="1" x14ac:dyDescent="0.3">
      <c r="A488" s="67" t="str">
        <f t="shared" si="7"/>
        <v>Flow-Through Planter0.1Q2DModerateOceanside</v>
      </c>
      <c r="B488" s="7" t="s">
        <v>79</v>
      </c>
      <c r="C488" s="7" t="s">
        <v>20</v>
      </c>
      <c r="D488" s="8" t="s">
        <v>16</v>
      </c>
      <c r="E488" s="8" t="s">
        <v>23</v>
      </c>
      <c r="F488" s="7">
        <v>0.16</v>
      </c>
      <c r="G488" s="7">
        <v>0.1333</v>
      </c>
      <c r="H488" s="16">
        <v>9.6000000000000002E-2</v>
      </c>
    </row>
    <row r="489" spans="1:8" ht="14.45" customHeight="1" thickBot="1" x14ac:dyDescent="0.3">
      <c r="A489" s="67" t="str">
        <f t="shared" si="7"/>
        <v>Flow-Through Planter0.1Q2DSteepOceanside</v>
      </c>
      <c r="B489" s="7" t="s">
        <v>79</v>
      </c>
      <c r="C489" s="7" t="s">
        <v>20</v>
      </c>
      <c r="D489" s="7" t="s">
        <v>17</v>
      </c>
      <c r="E489" s="8" t="s">
        <v>23</v>
      </c>
      <c r="F489" s="7">
        <v>0.105</v>
      </c>
      <c r="G489" s="7">
        <v>8.7499999999999994E-2</v>
      </c>
      <c r="H489" s="16">
        <v>6.3E-2</v>
      </c>
    </row>
    <row r="490" spans="1:8" ht="14.45" customHeight="1" thickBot="1" x14ac:dyDescent="0.3">
      <c r="A490" s="67" t="str">
        <f t="shared" si="7"/>
        <v>Flow-Through Planter0.1Q2AFlatLake Wohlford</v>
      </c>
      <c r="B490" s="7" t="s">
        <v>79</v>
      </c>
      <c r="C490" s="7" t="s">
        <v>13</v>
      </c>
      <c r="D490" s="7" t="s">
        <v>55</v>
      </c>
      <c r="E490" s="7" t="s">
        <v>12</v>
      </c>
      <c r="F490" s="7" t="s">
        <v>71</v>
      </c>
      <c r="G490" s="7" t="s">
        <v>71</v>
      </c>
      <c r="H490" s="15" t="s">
        <v>71</v>
      </c>
    </row>
    <row r="491" spans="1:8" ht="14.45" customHeight="1" thickBot="1" x14ac:dyDescent="0.3">
      <c r="A491" s="67" t="str">
        <f t="shared" si="7"/>
        <v>Flow-Through Planter0.1Q2AModerateLake Wohlford</v>
      </c>
      <c r="B491" s="7" t="s">
        <v>79</v>
      </c>
      <c r="C491" s="7" t="s">
        <v>13</v>
      </c>
      <c r="D491" s="8" t="s">
        <v>16</v>
      </c>
      <c r="E491" s="7" t="s">
        <v>12</v>
      </c>
      <c r="F491" s="7" t="s">
        <v>71</v>
      </c>
      <c r="G491" s="7" t="s">
        <v>71</v>
      </c>
      <c r="H491" s="15" t="s">
        <v>71</v>
      </c>
    </row>
    <row r="492" spans="1:8" ht="14.45" customHeight="1" thickBot="1" x14ac:dyDescent="0.3">
      <c r="A492" s="67" t="str">
        <f t="shared" si="7"/>
        <v>Flow-Through Planter0.1Q2ASteepLake Wohlford</v>
      </c>
      <c r="B492" s="7" t="s">
        <v>79</v>
      </c>
      <c r="C492" s="7" t="s">
        <v>13</v>
      </c>
      <c r="D492" s="7" t="s">
        <v>17</v>
      </c>
      <c r="E492" s="7" t="s">
        <v>12</v>
      </c>
      <c r="F492" s="7" t="s">
        <v>71</v>
      </c>
      <c r="G492" s="7" t="s">
        <v>71</v>
      </c>
      <c r="H492" s="15" t="s">
        <v>71</v>
      </c>
    </row>
    <row r="493" spans="1:8" ht="14.45" customHeight="1" thickBot="1" x14ac:dyDescent="0.3">
      <c r="A493" s="67" t="str">
        <f t="shared" si="7"/>
        <v>Flow-Through Planter0.1Q2BFlatLake Wohlford</v>
      </c>
      <c r="B493" s="7" t="s">
        <v>79</v>
      </c>
      <c r="C493" s="7" t="s">
        <v>18</v>
      </c>
      <c r="D493" s="7" t="s">
        <v>55</v>
      </c>
      <c r="E493" s="7" t="s">
        <v>12</v>
      </c>
      <c r="F493" s="7" t="s">
        <v>71</v>
      </c>
      <c r="G493" s="7" t="s">
        <v>71</v>
      </c>
      <c r="H493" s="15" t="s">
        <v>71</v>
      </c>
    </row>
    <row r="494" spans="1:8" ht="14.45" customHeight="1" thickBot="1" x14ac:dyDescent="0.3">
      <c r="A494" s="67" t="str">
        <f t="shared" si="7"/>
        <v>Flow-Through Planter0.1Q2BModerateLake Wohlford</v>
      </c>
      <c r="B494" s="7" t="s">
        <v>79</v>
      </c>
      <c r="C494" s="7" t="s">
        <v>18</v>
      </c>
      <c r="D494" s="8" t="s">
        <v>16</v>
      </c>
      <c r="E494" s="7" t="s">
        <v>12</v>
      </c>
      <c r="F494" s="7" t="s">
        <v>71</v>
      </c>
      <c r="G494" s="7" t="s">
        <v>71</v>
      </c>
      <c r="H494" s="15" t="s">
        <v>71</v>
      </c>
    </row>
    <row r="495" spans="1:8" ht="14.45" customHeight="1" thickBot="1" x14ac:dyDescent="0.3">
      <c r="A495" s="67" t="str">
        <f t="shared" si="7"/>
        <v>Flow-Through Planter0.1Q2BSteepLake Wohlford</v>
      </c>
      <c r="B495" s="7" t="s">
        <v>79</v>
      </c>
      <c r="C495" s="7" t="s">
        <v>18</v>
      </c>
      <c r="D495" s="7" t="s">
        <v>17</v>
      </c>
      <c r="E495" s="7" t="s">
        <v>12</v>
      </c>
      <c r="F495" s="7" t="s">
        <v>71</v>
      </c>
      <c r="G495" s="7" t="s">
        <v>71</v>
      </c>
      <c r="H495" s="15" t="s">
        <v>71</v>
      </c>
    </row>
    <row r="496" spans="1:8" ht="14.45" customHeight="1" thickBot="1" x14ac:dyDescent="0.3">
      <c r="A496" s="67" t="str">
        <f t="shared" si="7"/>
        <v>Flow-Through Planter0.1Q2CFlatLake Wohlford</v>
      </c>
      <c r="B496" s="7" t="s">
        <v>79</v>
      </c>
      <c r="C496" s="7" t="s">
        <v>19</v>
      </c>
      <c r="D496" s="7" t="s">
        <v>55</v>
      </c>
      <c r="E496" s="7" t="s">
        <v>12</v>
      </c>
      <c r="F496" s="7">
        <v>0.13500000000000001</v>
      </c>
      <c r="G496" s="7">
        <v>0.1125</v>
      </c>
      <c r="H496" s="16">
        <v>8.1000000000000003E-2</v>
      </c>
    </row>
    <row r="497" spans="1:8" ht="14.45" customHeight="1" thickBot="1" x14ac:dyDescent="0.3">
      <c r="A497" s="67" t="str">
        <f t="shared" si="7"/>
        <v>Flow-Through Planter0.1Q2CModerateLake Wohlford</v>
      </c>
      <c r="B497" s="7" t="s">
        <v>79</v>
      </c>
      <c r="C497" s="7" t="s">
        <v>19</v>
      </c>
      <c r="D497" s="8" t="s">
        <v>16</v>
      </c>
      <c r="E497" s="7" t="s">
        <v>12</v>
      </c>
      <c r="F497" s="7">
        <v>0.13500000000000001</v>
      </c>
      <c r="G497" s="7">
        <v>0.1125</v>
      </c>
      <c r="H497" s="16">
        <v>8.1000000000000003E-2</v>
      </c>
    </row>
    <row r="498" spans="1:8" ht="14.45" customHeight="1" thickBot="1" x14ac:dyDescent="0.3">
      <c r="A498" s="67" t="str">
        <f t="shared" si="7"/>
        <v>Flow-Through Planter0.1Q2CSteepLake Wohlford</v>
      </c>
      <c r="B498" s="7" t="s">
        <v>79</v>
      </c>
      <c r="C498" s="7" t="s">
        <v>19</v>
      </c>
      <c r="D498" s="7" t="s">
        <v>17</v>
      </c>
      <c r="E498" s="7" t="s">
        <v>12</v>
      </c>
      <c r="F498" s="7">
        <v>0.105</v>
      </c>
      <c r="G498" s="7">
        <v>8.7499999999999994E-2</v>
      </c>
      <c r="H498" s="16">
        <v>6.3E-2</v>
      </c>
    </row>
    <row r="499" spans="1:8" ht="14.45" customHeight="1" thickBot="1" x14ac:dyDescent="0.3">
      <c r="A499" s="67" t="str">
        <f t="shared" si="7"/>
        <v>Flow-Through Planter0.1Q2DFlatLake Wohlford</v>
      </c>
      <c r="B499" s="7" t="s">
        <v>79</v>
      </c>
      <c r="C499" s="7" t="s">
        <v>20</v>
      </c>
      <c r="D499" s="7" t="s">
        <v>55</v>
      </c>
      <c r="E499" s="7" t="s">
        <v>12</v>
      </c>
      <c r="F499" s="7">
        <v>0.11</v>
      </c>
      <c r="G499" s="7">
        <v>9.1700000000000004E-2</v>
      </c>
      <c r="H499" s="16">
        <v>6.6000000000000003E-2</v>
      </c>
    </row>
    <row r="500" spans="1:8" ht="14.45" customHeight="1" thickBot="1" x14ac:dyDescent="0.3">
      <c r="A500" s="67" t="str">
        <f t="shared" si="7"/>
        <v>Flow-Through Planter0.1Q2DModerateLake Wohlford</v>
      </c>
      <c r="B500" s="7" t="s">
        <v>79</v>
      </c>
      <c r="C500" s="7" t="s">
        <v>20</v>
      </c>
      <c r="D500" s="8" t="s">
        <v>16</v>
      </c>
      <c r="E500" s="7" t="s">
        <v>12</v>
      </c>
      <c r="F500" s="7">
        <v>0.11</v>
      </c>
      <c r="G500" s="7">
        <v>9.1700000000000004E-2</v>
      </c>
      <c r="H500" s="16">
        <v>6.6000000000000003E-2</v>
      </c>
    </row>
    <row r="501" spans="1:8" ht="14.45" customHeight="1" thickBot="1" x14ac:dyDescent="0.3">
      <c r="A501" s="67" t="str">
        <f t="shared" si="7"/>
        <v>Flow-Through Planter0.1Q2DSteepLake Wohlford</v>
      </c>
      <c r="B501" s="7" t="s">
        <v>79</v>
      </c>
      <c r="C501" s="7" t="s">
        <v>20</v>
      </c>
      <c r="D501" s="7" t="s">
        <v>17</v>
      </c>
      <c r="E501" s="7" t="s">
        <v>12</v>
      </c>
      <c r="F501" s="7">
        <v>0.08</v>
      </c>
      <c r="G501" s="7">
        <v>6.6699999999999995E-2</v>
      </c>
      <c r="H501" s="16">
        <v>4.8000000000000001E-2</v>
      </c>
    </row>
    <row r="502" spans="1:8" ht="14.45" customHeight="1" x14ac:dyDescent="0.25">
      <c r="B502" s="14"/>
    </row>
    <row r="503" spans="1:8" ht="14.45" customHeight="1" thickBot="1" x14ac:dyDescent="0.3">
      <c r="B503" s="219" t="s">
        <v>80</v>
      </c>
      <c r="C503" s="219"/>
      <c r="D503" s="219"/>
      <c r="E503" s="219"/>
      <c r="F503" s="219"/>
      <c r="G503" s="219"/>
      <c r="H503" s="219"/>
    </row>
    <row r="504" spans="1:8" ht="14.45" customHeight="1" thickBot="1" x14ac:dyDescent="0.3">
      <c r="B504" s="3" t="s">
        <v>81</v>
      </c>
      <c r="C504" s="3" t="s">
        <v>67</v>
      </c>
      <c r="D504" s="4" t="s">
        <v>7</v>
      </c>
      <c r="E504" s="5" t="s">
        <v>4</v>
      </c>
      <c r="F504" s="4" t="s">
        <v>13</v>
      </c>
      <c r="G504" s="4" t="s">
        <v>68</v>
      </c>
      <c r="H504" s="6" t="s">
        <v>69</v>
      </c>
    </row>
    <row r="505" spans="1:8" ht="14.45" customHeight="1" thickBot="1" x14ac:dyDescent="0.3">
      <c r="A505" s="67" t="str">
        <f>CONCATENATE(A$44,B505,C505,D505,E505)</f>
        <v>Infiltration0.5Q2AFlatLindbergh</v>
      </c>
      <c r="B505" s="7" t="s">
        <v>77</v>
      </c>
      <c r="C505" s="7" t="s">
        <v>13</v>
      </c>
      <c r="D505" s="7" t="s">
        <v>55</v>
      </c>
      <c r="E505" s="8" t="s">
        <v>24</v>
      </c>
      <c r="F505" s="7">
        <v>0.04</v>
      </c>
      <c r="G505" s="7">
        <v>0.104</v>
      </c>
      <c r="H505" s="15" t="s">
        <v>71</v>
      </c>
    </row>
    <row r="506" spans="1:8" ht="14.45" customHeight="1" thickBot="1" x14ac:dyDescent="0.3">
      <c r="A506" s="67" t="str">
        <f t="shared" ref="A506:A569" si="8">CONCATENATE(A$44,B506,C506,D506,E506)</f>
        <v>Infiltration0.5Q2AModerateLindbergh</v>
      </c>
      <c r="B506" s="7" t="s">
        <v>77</v>
      </c>
      <c r="C506" s="7" t="s">
        <v>13</v>
      </c>
      <c r="D506" s="8" t="s">
        <v>16</v>
      </c>
      <c r="E506" s="8" t="s">
        <v>24</v>
      </c>
      <c r="F506" s="7">
        <v>0.04</v>
      </c>
      <c r="G506" s="7">
        <v>0.104</v>
      </c>
      <c r="H506" s="15" t="s">
        <v>71</v>
      </c>
    </row>
    <row r="507" spans="1:8" ht="14.45" customHeight="1" thickBot="1" x14ac:dyDescent="0.3">
      <c r="A507" s="67" t="str">
        <f t="shared" si="8"/>
        <v>Infiltration0.5Q2ASteepLindbergh</v>
      </c>
      <c r="B507" s="7" t="s">
        <v>77</v>
      </c>
      <c r="C507" s="7" t="s">
        <v>13</v>
      </c>
      <c r="D507" s="7" t="s">
        <v>17</v>
      </c>
      <c r="E507" s="8" t="s">
        <v>24</v>
      </c>
      <c r="F507" s="7">
        <v>3.5000000000000003E-2</v>
      </c>
      <c r="G507" s="7">
        <v>9.0999999999999998E-2</v>
      </c>
      <c r="H507" s="15" t="s">
        <v>71</v>
      </c>
    </row>
    <row r="508" spans="1:8" ht="14.45" customHeight="1" thickBot="1" x14ac:dyDescent="0.3">
      <c r="A508" s="67" t="str">
        <f t="shared" si="8"/>
        <v>Infiltration0.5Q2BFlatLindbergh</v>
      </c>
      <c r="B508" s="7" t="s">
        <v>77</v>
      </c>
      <c r="C508" s="7" t="s">
        <v>18</v>
      </c>
      <c r="D508" s="7" t="s">
        <v>55</v>
      </c>
      <c r="E508" s="8" t="s">
        <v>24</v>
      </c>
      <c r="F508" s="7">
        <v>5.8000000000000003E-2</v>
      </c>
      <c r="G508" s="7">
        <v>0.14949999999999999</v>
      </c>
      <c r="H508" s="15" t="s">
        <v>71</v>
      </c>
    </row>
    <row r="509" spans="1:8" ht="14.45" customHeight="1" thickBot="1" x14ac:dyDescent="0.3">
      <c r="A509" s="67" t="str">
        <f t="shared" si="8"/>
        <v>Infiltration0.5Q2BModerateLindbergh</v>
      </c>
      <c r="B509" s="7" t="s">
        <v>77</v>
      </c>
      <c r="C509" s="7" t="s">
        <v>18</v>
      </c>
      <c r="D509" s="8" t="s">
        <v>16</v>
      </c>
      <c r="E509" s="8" t="s">
        <v>24</v>
      </c>
      <c r="F509" s="7">
        <v>5.5E-2</v>
      </c>
      <c r="G509" s="7">
        <v>0.14299999999999999</v>
      </c>
      <c r="H509" s="15" t="s">
        <v>71</v>
      </c>
    </row>
    <row r="510" spans="1:8" ht="14.45" customHeight="1" thickBot="1" x14ac:dyDescent="0.3">
      <c r="A510" s="67" t="str">
        <f t="shared" si="8"/>
        <v>Infiltration0.5Q2BSteepLindbergh</v>
      </c>
      <c r="B510" s="7" t="s">
        <v>77</v>
      </c>
      <c r="C510" s="7" t="s">
        <v>18</v>
      </c>
      <c r="D510" s="7" t="s">
        <v>17</v>
      </c>
      <c r="E510" s="8" t="s">
        <v>24</v>
      </c>
      <c r="F510" s="7">
        <v>0.05</v>
      </c>
      <c r="G510" s="7">
        <v>0.13</v>
      </c>
      <c r="H510" s="15" t="s">
        <v>71</v>
      </c>
    </row>
    <row r="511" spans="1:8" ht="14.45" customHeight="1" thickBot="1" x14ac:dyDescent="0.3">
      <c r="A511" s="67" t="str">
        <f t="shared" si="8"/>
        <v>Infiltration0.5Q2CFlatLindbergh</v>
      </c>
      <c r="B511" s="7" t="s">
        <v>77</v>
      </c>
      <c r="C511" s="7" t="s">
        <v>19</v>
      </c>
      <c r="D511" s="7" t="s">
        <v>55</v>
      </c>
      <c r="E511" s="8" t="s">
        <v>24</v>
      </c>
      <c r="F511" s="7" t="s">
        <v>71</v>
      </c>
      <c r="G511" s="7" t="s">
        <v>71</v>
      </c>
      <c r="H511" s="15" t="s">
        <v>71</v>
      </c>
    </row>
    <row r="512" spans="1:8" ht="14.45" customHeight="1" thickBot="1" x14ac:dyDescent="0.3">
      <c r="A512" s="67" t="str">
        <f t="shared" si="8"/>
        <v>Infiltration0.5Q2CModerateLindbergh</v>
      </c>
      <c r="B512" s="7" t="s">
        <v>77</v>
      </c>
      <c r="C512" s="7" t="s">
        <v>19</v>
      </c>
      <c r="D512" s="8" t="s">
        <v>16</v>
      </c>
      <c r="E512" s="8" t="s">
        <v>24</v>
      </c>
      <c r="F512" s="7" t="s">
        <v>71</v>
      </c>
      <c r="G512" s="7" t="s">
        <v>71</v>
      </c>
      <c r="H512" s="15" t="s">
        <v>71</v>
      </c>
    </row>
    <row r="513" spans="1:8" ht="14.45" customHeight="1" thickBot="1" x14ac:dyDescent="0.3">
      <c r="A513" s="67" t="str">
        <f t="shared" si="8"/>
        <v>Infiltration0.5Q2CSteepLindbergh</v>
      </c>
      <c r="B513" s="7" t="s">
        <v>77</v>
      </c>
      <c r="C513" s="7" t="s">
        <v>19</v>
      </c>
      <c r="D513" s="7" t="s">
        <v>17</v>
      </c>
      <c r="E513" s="8" t="s">
        <v>24</v>
      </c>
      <c r="F513" s="7" t="s">
        <v>71</v>
      </c>
      <c r="G513" s="7" t="s">
        <v>71</v>
      </c>
      <c r="H513" s="15" t="s">
        <v>71</v>
      </c>
    </row>
    <row r="514" spans="1:8" ht="14.45" customHeight="1" thickBot="1" x14ac:dyDescent="0.3">
      <c r="A514" s="67" t="str">
        <f t="shared" si="8"/>
        <v>Infiltration0.5Q2DFlatLindbergh</v>
      </c>
      <c r="B514" s="7" t="s">
        <v>77</v>
      </c>
      <c r="C514" s="7" t="s">
        <v>20</v>
      </c>
      <c r="D514" s="7" t="s">
        <v>55</v>
      </c>
      <c r="E514" s="8" t="s">
        <v>24</v>
      </c>
      <c r="F514" s="7" t="s">
        <v>71</v>
      </c>
      <c r="G514" s="7" t="s">
        <v>71</v>
      </c>
      <c r="H514" s="15" t="s">
        <v>71</v>
      </c>
    </row>
    <row r="515" spans="1:8" ht="14.45" customHeight="1" thickBot="1" x14ac:dyDescent="0.3">
      <c r="A515" s="67" t="str">
        <f t="shared" si="8"/>
        <v>Infiltration0.5Q2DModerateLindbergh</v>
      </c>
      <c r="B515" s="7" t="s">
        <v>77</v>
      </c>
      <c r="C515" s="7" t="s">
        <v>20</v>
      </c>
      <c r="D515" s="8" t="s">
        <v>16</v>
      </c>
      <c r="E515" s="8" t="s">
        <v>24</v>
      </c>
      <c r="F515" s="7" t="s">
        <v>71</v>
      </c>
      <c r="G515" s="7" t="s">
        <v>71</v>
      </c>
      <c r="H515" s="15" t="s">
        <v>71</v>
      </c>
    </row>
    <row r="516" spans="1:8" ht="14.45" customHeight="1" thickBot="1" x14ac:dyDescent="0.3">
      <c r="A516" s="67" t="str">
        <f t="shared" si="8"/>
        <v>Infiltration0.5Q2DSteepLindbergh</v>
      </c>
      <c r="B516" s="7" t="s">
        <v>77</v>
      </c>
      <c r="C516" s="7" t="s">
        <v>20</v>
      </c>
      <c r="D516" s="7" t="s">
        <v>17</v>
      </c>
      <c r="E516" s="8" t="s">
        <v>24</v>
      </c>
      <c r="F516" s="7" t="s">
        <v>71</v>
      </c>
      <c r="G516" s="7" t="s">
        <v>71</v>
      </c>
      <c r="H516" s="15" t="s">
        <v>71</v>
      </c>
    </row>
    <row r="517" spans="1:8" ht="14.45" customHeight="1" thickBot="1" x14ac:dyDescent="0.3">
      <c r="A517" s="67" t="str">
        <f t="shared" si="8"/>
        <v>Infiltration0.5Q2AFlatOceanside</v>
      </c>
      <c r="B517" s="7" t="s">
        <v>77</v>
      </c>
      <c r="C517" s="7" t="s">
        <v>13</v>
      </c>
      <c r="D517" s="7" t="s">
        <v>55</v>
      </c>
      <c r="E517" s="8" t="s">
        <v>23</v>
      </c>
      <c r="F517" s="7">
        <v>4.4999999999999998E-2</v>
      </c>
      <c r="G517" s="7">
        <v>0.11700000000000001</v>
      </c>
      <c r="H517" s="15" t="s">
        <v>71</v>
      </c>
    </row>
    <row r="518" spans="1:8" ht="14.45" customHeight="1" thickBot="1" x14ac:dyDescent="0.3">
      <c r="A518" s="67" t="str">
        <f t="shared" si="8"/>
        <v>Infiltration0.5Q2AModerateOceanside</v>
      </c>
      <c r="B518" s="7" t="s">
        <v>77</v>
      </c>
      <c r="C518" s="7" t="s">
        <v>13</v>
      </c>
      <c r="D518" s="8" t="s">
        <v>16</v>
      </c>
      <c r="E518" s="8" t="s">
        <v>23</v>
      </c>
      <c r="F518" s="7">
        <v>4.4999999999999998E-2</v>
      </c>
      <c r="G518" s="7">
        <v>0.11700000000000001</v>
      </c>
      <c r="H518" s="15" t="s">
        <v>71</v>
      </c>
    </row>
    <row r="519" spans="1:8" ht="14.45" customHeight="1" thickBot="1" x14ac:dyDescent="0.3">
      <c r="A519" s="67" t="str">
        <f t="shared" si="8"/>
        <v>Infiltration0.5Q2ASteepOceanside</v>
      </c>
      <c r="B519" s="7" t="s">
        <v>77</v>
      </c>
      <c r="C519" s="7" t="s">
        <v>13</v>
      </c>
      <c r="D519" s="7" t="s">
        <v>17</v>
      </c>
      <c r="E519" s="8" t="s">
        <v>23</v>
      </c>
      <c r="F519" s="7">
        <v>0.04</v>
      </c>
      <c r="G519" s="7">
        <v>0.104</v>
      </c>
      <c r="H519" s="15" t="s">
        <v>71</v>
      </c>
    </row>
    <row r="520" spans="1:8" ht="14.45" customHeight="1" thickBot="1" x14ac:dyDescent="0.3">
      <c r="A520" s="67" t="str">
        <f t="shared" si="8"/>
        <v>Infiltration0.5Q2BFlatOceanside</v>
      </c>
      <c r="B520" s="7" t="s">
        <v>77</v>
      </c>
      <c r="C520" s="7" t="s">
        <v>18</v>
      </c>
      <c r="D520" s="7" t="s">
        <v>55</v>
      </c>
      <c r="E520" s="8" t="s">
        <v>23</v>
      </c>
      <c r="F520" s="7">
        <v>6.5000000000000002E-2</v>
      </c>
      <c r="G520" s="7">
        <v>0.16900000000000001</v>
      </c>
      <c r="H520" s="15" t="s">
        <v>71</v>
      </c>
    </row>
    <row r="521" spans="1:8" ht="14.45" customHeight="1" thickBot="1" x14ac:dyDescent="0.3">
      <c r="A521" s="67" t="str">
        <f t="shared" si="8"/>
        <v>Infiltration0.5Q2BModerateOceanside</v>
      </c>
      <c r="B521" s="7" t="s">
        <v>77</v>
      </c>
      <c r="C521" s="7" t="s">
        <v>18</v>
      </c>
      <c r="D521" s="8" t="s">
        <v>16</v>
      </c>
      <c r="E521" s="8" t="s">
        <v>23</v>
      </c>
      <c r="F521" s="7">
        <v>6.5000000000000002E-2</v>
      </c>
      <c r="G521" s="7">
        <v>0.16900000000000001</v>
      </c>
      <c r="H521" s="15" t="s">
        <v>71</v>
      </c>
    </row>
    <row r="522" spans="1:8" ht="14.45" customHeight="1" thickBot="1" x14ac:dyDescent="0.3">
      <c r="A522" s="67" t="str">
        <f t="shared" si="8"/>
        <v>Infiltration0.5Q2BSteepOceanside</v>
      </c>
      <c r="B522" s="7" t="s">
        <v>77</v>
      </c>
      <c r="C522" s="7" t="s">
        <v>18</v>
      </c>
      <c r="D522" s="7" t="s">
        <v>17</v>
      </c>
      <c r="E522" s="8" t="s">
        <v>23</v>
      </c>
      <c r="F522" s="7">
        <v>0.06</v>
      </c>
      <c r="G522" s="7">
        <v>0.156</v>
      </c>
      <c r="H522" s="15" t="s">
        <v>71</v>
      </c>
    </row>
    <row r="523" spans="1:8" ht="14.45" customHeight="1" thickBot="1" x14ac:dyDescent="0.3">
      <c r="A523" s="67" t="str">
        <f t="shared" si="8"/>
        <v>Infiltration0.5Q2CFlatOceanside</v>
      </c>
      <c r="B523" s="7" t="s">
        <v>77</v>
      </c>
      <c r="C523" s="7" t="s">
        <v>19</v>
      </c>
      <c r="D523" s="7" t="s">
        <v>55</v>
      </c>
      <c r="E523" s="8" t="s">
        <v>23</v>
      </c>
      <c r="F523" s="7" t="s">
        <v>71</v>
      </c>
      <c r="G523" s="7" t="s">
        <v>71</v>
      </c>
      <c r="H523" s="15" t="s">
        <v>71</v>
      </c>
    </row>
    <row r="524" spans="1:8" ht="14.45" customHeight="1" thickBot="1" x14ac:dyDescent="0.3">
      <c r="A524" s="67" t="str">
        <f t="shared" si="8"/>
        <v>Infiltration0.5Q2CModerateOceanside</v>
      </c>
      <c r="B524" s="7" t="s">
        <v>77</v>
      </c>
      <c r="C524" s="7" t="s">
        <v>19</v>
      </c>
      <c r="D524" s="8" t="s">
        <v>16</v>
      </c>
      <c r="E524" s="8" t="s">
        <v>23</v>
      </c>
      <c r="F524" s="7" t="s">
        <v>71</v>
      </c>
      <c r="G524" s="7" t="s">
        <v>71</v>
      </c>
      <c r="H524" s="15" t="s">
        <v>71</v>
      </c>
    </row>
    <row r="525" spans="1:8" ht="14.45" customHeight="1" thickBot="1" x14ac:dyDescent="0.3">
      <c r="A525" s="67" t="str">
        <f t="shared" si="8"/>
        <v>Infiltration0.5Q2CSteepOceanside</v>
      </c>
      <c r="B525" s="7" t="s">
        <v>77</v>
      </c>
      <c r="C525" s="7" t="s">
        <v>19</v>
      </c>
      <c r="D525" s="7" t="s">
        <v>17</v>
      </c>
      <c r="E525" s="8" t="s">
        <v>23</v>
      </c>
      <c r="F525" s="7" t="s">
        <v>71</v>
      </c>
      <c r="G525" s="7" t="s">
        <v>71</v>
      </c>
      <c r="H525" s="15" t="s">
        <v>71</v>
      </c>
    </row>
    <row r="526" spans="1:8" ht="14.45" customHeight="1" thickBot="1" x14ac:dyDescent="0.3">
      <c r="A526" s="67" t="str">
        <f t="shared" si="8"/>
        <v>Infiltration0.5Q2DFlatOceanside</v>
      </c>
      <c r="B526" s="7" t="s">
        <v>77</v>
      </c>
      <c r="C526" s="7" t="s">
        <v>20</v>
      </c>
      <c r="D526" s="7" t="s">
        <v>55</v>
      </c>
      <c r="E526" s="8" t="s">
        <v>23</v>
      </c>
      <c r="F526" s="7" t="s">
        <v>71</v>
      </c>
      <c r="G526" s="7" t="s">
        <v>71</v>
      </c>
      <c r="H526" s="15" t="s">
        <v>71</v>
      </c>
    </row>
    <row r="527" spans="1:8" ht="14.45" customHeight="1" thickBot="1" x14ac:dyDescent="0.3">
      <c r="A527" s="67" t="str">
        <f t="shared" si="8"/>
        <v>Infiltration0.5Q2DModerateOceanside</v>
      </c>
      <c r="B527" s="7" t="s">
        <v>77</v>
      </c>
      <c r="C527" s="7" t="s">
        <v>20</v>
      </c>
      <c r="D527" s="8" t="s">
        <v>16</v>
      </c>
      <c r="E527" s="8" t="s">
        <v>23</v>
      </c>
      <c r="F527" s="7" t="s">
        <v>71</v>
      </c>
      <c r="G527" s="7" t="s">
        <v>71</v>
      </c>
      <c r="H527" s="15" t="s">
        <v>71</v>
      </c>
    </row>
    <row r="528" spans="1:8" ht="14.45" customHeight="1" thickBot="1" x14ac:dyDescent="0.3">
      <c r="A528" s="67" t="str">
        <f t="shared" si="8"/>
        <v>Infiltration0.5Q2DSteepOceanside</v>
      </c>
      <c r="B528" s="7" t="s">
        <v>77</v>
      </c>
      <c r="C528" s="7" t="s">
        <v>20</v>
      </c>
      <c r="D528" s="7" t="s">
        <v>17</v>
      </c>
      <c r="E528" s="8" t="s">
        <v>23</v>
      </c>
      <c r="F528" s="7" t="s">
        <v>71</v>
      </c>
      <c r="G528" s="7" t="s">
        <v>71</v>
      </c>
      <c r="H528" s="15" t="s">
        <v>71</v>
      </c>
    </row>
    <row r="529" spans="1:8" ht="14.45" customHeight="1" thickBot="1" x14ac:dyDescent="0.3">
      <c r="A529" s="67" t="str">
        <f t="shared" si="8"/>
        <v>Infiltration0.5Q2AFlatLake Wohlford</v>
      </c>
      <c r="B529" s="7" t="s">
        <v>77</v>
      </c>
      <c r="C529" s="7" t="s">
        <v>13</v>
      </c>
      <c r="D529" s="7" t="s">
        <v>55</v>
      </c>
      <c r="E529" s="7" t="s">
        <v>12</v>
      </c>
      <c r="F529" s="7">
        <v>0.05</v>
      </c>
      <c r="G529" s="7">
        <v>0.13</v>
      </c>
      <c r="H529" s="15" t="s">
        <v>71</v>
      </c>
    </row>
    <row r="530" spans="1:8" ht="14.45" customHeight="1" thickBot="1" x14ac:dyDescent="0.3">
      <c r="A530" s="67" t="str">
        <f t="shared" si="8"/>
        <v>Infiltration0.5Q2AModerateLake Wohlford</v>
      </c>
      <c r="B530" s="7" t="s">
        <v>77</v>
      </c>
      <c r="C530" s="7" t="s">
        <v>13</v>
      </c>
      <c r="D530" s="8" t="s">
        <v>16</v>
      </c>
      <c r="E530" s="7" t="s">
        <v>12</v>
      </c>
      <c r="F530" s="7">
        <v>0.05</v>
      </c>
      <c r="G530" s="7">
        <v>0.13</v>
      </c>
      <c r="H530" s="15" t="s">
        <v>71</v>
      </c>
    </row>
    <row r="531" spans="1:8" ht="14.45" customHeight="1" thickBot="1" x14ac:dyDescent="0.3">
      <c r="A531" s="67" t="str">
        <f t="shared" si="8"/>
        <v>Infiltration0.5Q2ASteepLake Wohlford</v>
      </c>
      <c r="B531" s="7" t="s">
        <v>77</v>
      </c>
      <c r="C531" s="7" t="s">
        <v>13</v>
      </c>
      <c r="D531" s="7" t="s">
        <v>17</v>
      </c>
      <c r="E531" s="7" t="s">
        <v>12</v>
      </c>
      <c r="F531" s="7">
        <v>0.04</v>
      </c>
      <c r="G531" s="7">
        <v>0.104</v>
      </c>
      <c r="H531" s="15" t="s">
        <v>71</v>
      </c>
    </row>
    <row r="532" spans="1:8" ht="14.45" customHeight="1" thickBot="1" x14ac:dyDescent="0.3">
      <c r="A532" s="67" t="str">
        <f t="shared" si="8"/>
        <v>Infiltration0.5Q2BFlatLake Wohlford</v>
      </c>
      <c r="B532" s="7" t="s">
        <v>77</v>
      </c>
      <c r="C532" s="7" t="s">
        <v>18</v>
      </c>
      <c r="D532" s="7" t="s">
        <v>55</v>
      </c>
      <c r="E532" s="7" t="s">
        <v>12</v>
      </c>
      <c r="F532" s="7">
        <v>7.8E-2</v>
      </c>
      <c r="G532" s="7">
        <v>0.20150000000000001</v>
      </c>
      <c r="H532" s="15" t="s">
        <v>71</v>
      </c>
    </row>
    <row r="533" spans="1:8" ht="14.45" customHeight="1" thickBot="1" x14ac:dyDescent="0.3">
      <c r="A533" s="67" t="str">
        <f t="shared" si="8"/>
        <v>Infiltration0.5Q2BModerateLake Wohlford</v>
      </c>
      <c r="B533" s="7" t="s">
        <v>77</v>
      </c>
      <c r="C533" s="7" t="s">
        <v>18</v>
      </c>
      <c r="D533" s="8" t="s">
        <v>16</v>
      </c>
      <c r="E533" s="7" t="s">
        <v>12</v>
      </c>
      <c r="F533" s="7">
        <v>7.4999999999999997E-2</v>
      </c>
      <c r="G533" s="7">
        <v>0.19500000000000001</v>
      </c>
      <c r="H533" s="15" t="s">
        <v>71</v>
      </c>
    </row>
    <row r="534" spans="1:8" ht="14.45" customHeight="1" thickBot="1" x14ac:dyDescent="0.3">
      <c r="A534" s="67" t="str">
        <f t="shared" si="8"/>
        <v>Infiltration0.5Q2BSteepLake Wohlford</v>
      </c>
      <c r="B534" s="7" t="s">
        <v>77</v>
      </c>
      <c r="C534" s="7" t="s">
        <v>18</v>
      </c>
      <c r="D534" s="7" t="s">
        <v>17</v>
      </c>
      <c r="E534" s="7" t="s">
        <v>12</v>
      </c>
      <c r="F534" s="7">
        <v>6.5000000000000002E-2</v>
      </c>
      <c r="G534" s="7">
        <v>0.16900000000000001</v>
      </c>
      <c r="H534" s="15" t="s">
        <v>71</v>
      </c>
    </row>
    <row r="535" spans="1:8" ht="14.45" customHeight="1" thickBot="1" x14ac:dyDescent="0.3">
      <c r="A535" s="67" t="str">
        <f t="shared" si="8"/>
        <v>Infiltration0.5Q2CFlatLake Wohlford</v>
      </c>
      <c r="B535" s="7" t="s">
        <v>77</v>
      </c>
      <c r="C535" s="7" t="s">
        <v>19</v>
      </c>
      <c r="D535" s="7" t="s">
        <v>55</v>
      </c>
      <c r="E535" s="7" t="s">
        <v>12</v>
      </c>
      <c r="F535" s="7" t="s">
        <v>71</v>
      </c>
      <c r="G535" s="7" t="s">
        <v>71</v>
      </c>
      <c r="H535" s="15" t="s">
        <v>71</v>
      </c>
    </row>
    <row r="536" spans="1:8" ht="14.45" customHeight="1" thickBot="1" x14ac:dyDescent="0.3">
      <c r="A536" s="67" t="str">
        <f t="shared" si="8"/>
        <v>Infiltration0.5Q2CModerateLake Wohlford</v>
      </c>
      <c r="B536" s="7" t="s">
        <v>77</v>
      </c>
      <c r="C536" s="7" t="s">
        <v>19</v>
      </c>
      <c r="D536" s="8" t="s">
        <v>16</v>
      </c>
      <c r="E536" s="7" t="s">
        <v>12</v>
      </c>
      <c r="F536" s="7" t="s">
        <v>71</v>
      </c>
      <c r="G536" s="7" t="s">
        <v>71</v>
      </c>
      <c r="H536" s="15" t="s">
        <v>71</v>
      </c>
    </row>
    <row r="537" spans="1:8" ht="14.45" customHeight="1" thickBot="1" x14ac:dyDescent="0.3">
      <c r="A537" s="67" t="str">
        <f t="shared" si="8"/>
        <v>Infiltration0.5Q2CSteepLake Wohlford</v>
      </c>
      <c r="B537" s="7" t="s">
        <v>77</v>
      </c>
      <c r="C537" s="7" t="s">
        <v>19</v>
      </c>
      <c r="D537" s="7" t="s">
        <v>17</v>
      </c>
      <c r="E537" s="7" t="s">
        <v>12</v>
      </c>
      <c r="F537" s="7" t="s">
        <v>71</v>
      </c>
      <c r="G537" s="7" t="s">
        <v>71</v>
      </c>
      <c r="H537" s="15" t="s">
        <v>71</v>
      </c>
    </row>
    <row r="538" spans="1:8" ht="14.45" customHeight="1" thickBot="1" x14ac:dyDescent="0.3">
      <c r="A538" s="67" t="str">
        <f t="shared" si="8"/>
        <v>Infiltration0.5Q2DFlatLake Wohlford</v>
      </c>
      <c r="B538" s="7" t="s">
        <v>77</v>
      </c>
      <c r="C538" s="7" t="s">
        <v>20</v>
      </c>
      <c r="D538" s="7" t="s">
        <v>55</v>
      </c>
      <c r="E538" s="7" t="s">
        <v>12</v>
      </c>
      <c r="F538" s="7" t="s">
        <v>71</v>
      </c>
      <c r="G538" s="7" t="s">
        <v>71</v>
      </c>
      <c r="H538" s="15" t="s">
        <v>71</v>
      </c>
    </row>
    <row r="539" spans="1:8" ht="14.45" customHeight="1" thickBot="1" x14ac:dyDescent="0.3">
      <c r="A539" s="67" t="str">
        <f t="shared" si="8"/>
        <v>Infiltration0.5Q2DModerateLake Wohlford</v>
      </c>
      <c r="B539" s="7" t="s">
        <v>77</v>
      </c>
      <c r="C539" s="7" t="s">
        <v>20</v>
      </c>
      <c r="D539" s="8" t="s">
        <v>16</v>
      </c>
      <c r="E539" s="7" t="s">
        <v>12</v>
      </c>
      <c r="F539" s="7" t="s">
        <v>71</v>
      </c>
      <c r="G539" s="7" t="s">
        <v>71</v>
      </c>
      <c r="H539" s="15" t="s">
        <v>71</v>
      </c>
    </row>
    <row r="540" spans="1:8" ht="14.45" customHeight="1" thickBot="1" x14ac:dyDescent="0.3">
      <c r="A540" s="67" t="str">
        <f t="shared" si="8"/>
        <v>Infiltration0.5Q2DSteepLake Wohlford</v>
      </c>
      <c r="B540" s="7" t="s">
        <v>77</v>
      </c>
      <c r="C540" s="7" t="s">
        <v>20</v>
      </c>
      <c r="D540" s="7" t="s">
        <v>17</v>
      </c>
      <c r="E540" s="7" t="s">
        <v>12</v>
      </c>
      <c r="F540" s="7" t="s">
        <v>71</v>
      </c>
      <c r="G540" s="7" t="s">
        <v>71</v>
      </c>
      <c r="H540" s="15" t="s">
        <v>71</v>
      </c>
    </row>
    <row r="541" spans="1:8" ht="14.45" customHeight="1" thickBot="1" x14ac:dyDescent="0.3">
      <c r="A541" s="67" t="str">
        <f t="shared" si="8"/>
        <v>Infiltration0.3Q2AFlatLindbergh</v>
      </c>
      <c r="B541" s="7" t="s">
        <v>78</v>
      </c>
      <c r="C541" s="7" t="s">
        <v>13</v>
      </c>
      <c r="D541" s="7" t="s">
        <v>55</v>
      </c>
      <c r="E541" s="8" t="s">
        <v>24</v>
      </c>
      <c r="F541" s="7">
        <v>0.04</v>
      </c>
      <c r="G541" s="7">
        <v>0.104</v>
      </c>
      <c r="H541" s="15" t="s">
        <v>71</v>
      </c>
    </row>
    <row r="542" spans="1:8" ht="14.45" customHeight="1" thickBot="1" x14ac:dyDescent="0.3">
      <c r="A542" s="67" t="str">
        <f t="shared" si="8"/>
        <v>Infiltration0.3Q2AModerateLindbergh</v>
      </c>
      <c r="B542" s="7" t="s">
        <v>78</v>
      </c>
      <c r="C542" s="7" t="s">
        <v>13</v>
      </c>
      <c r="D542" s="8" t="s">
        <v>16</v>
      </c>
      <c r="E542" s="8" t="s">
        <v>24</v>
      </c>
      <c r="F542" s="7">
        <v>0.04</v>
      </c>
      <c r="G542" s="7">
        <v>0.104</v>
      </c>
      <c r="H542" s="15" t="s">
        <v>71</v>
      </c>
    </row>
    <row r="543" spans="1:8" ht="14.45" customHeight="1" thickBot="1" x14ac:dyDescent="0.3">
      <c r="A543" s="67" t="str">
        <f t="shared" si="8"/>
        <v>Infiltration0.3Q2ASteepLindbergh</v>
      </c>
      <c r="B543" s="7" t="s">
        <v>78</v>
      </c>
      <c r="C543" s="7" t="s">
        <v>13</v>
      </c>
      <c r="D543" s="7" t="s">
        <v>17</v>
      </c>
      <c r="E543" s="8" t="s">
        <v>24</v>
      </c>
      <c r="F543" s="7">
        <v>3.5000000000000003E-2</v>
      </c>
      <c r="G543" s="7">
        <v>9.0999999999999998E-2</v>
      </c>
      <c r="H543" s="15" t="s">
        <v>71</v>
      </c>
    </row>
    <row r="544" spans="1:8" ht="14.45" customHeight="1" thickBot="1" x14ac:dyDescent="0.3">
      <c r="A544" s="67" t="str">
        <f t="shared" si="8"/>
        <v>Infiltration0.3Q2BFlatLindbergh</v>
      </c>
      <c r="B544" s="7" t="s">
        <v>78</v>
      </c>
      <c r="C544" s="7" t="s">
        <v>18</v>
      </c>
      <c r="D544" s="7" t="s">
        <v>55</v>
      </c>
      <c r="E544" s="8" t="s">
        <v>24</v>
      </c>
      <c r="F544" s="7">
        <v>5.8000000000000003E-2</v>
      </c>
      <c r="G544" s="7">
        <v>0.14949999999999999</v>
      </c>
      <c r="H544" s="15" t="s">
        <v>71</v>
      </c>
    </row>
    <row r="545" spans="1:8" ht="14.45" customHeight="1" thickBot="1" x14ac:dyDescent="0.3">
      <c r="A545" s="67" t="str">
        <f t="shared" si="8"/>
        <v>Infiltration0.3Q2BModerateLindbergh</v>
      </c>
      <c r="B545" s="7" t="s">
        <v>78</v>
      </c>
      <c r="C545" s="7" t="s">
        <v>18</v>
      </c>
      <c r="D545" s="8" t="s">
        <v>16</v>
      </c>
      <c r="E545" s="8" t="s">
        <v>24</v>
      </c>
      <c r="F545" s="7">
        <v>5.5E-2</v>
      </c>
      <c r="G545" s="7">
        <v>0.14299999999999999</v>
      </c>
      <c r="H545" s="15" t="s">
        <v>71</v>
      </c>
    </row>
    <row r="546" spans="1:8" ht="14.45" customHeight="1" thickBot="1" x14ac:dyDescent="0.3">
      <c r="A546" s="67" t="str">
        <f t="shared" si="8"/>
        <v>Infiltration0.3Q2BSteepLindbergh</v>
      </c>
      <c r="B546" s="7" t="s">
        <v>78</v>
      </c>
      <c r="C546" s="7" t="s">
        <v>18</v>
      </c>
      <c r="D546" s="7" t="s">
        <v>17</v>
      </c>
      <c r="E546" s="8" t="s">
        <v>24</v>
      </c>
      <c r="F546" s="7">
        <v>0.05</v>
      </c>
      <c r="G546" s="7">
        <v>0.13</v>
      </c>
      <c r="H546" s="15" t="s">
        <v>71</v>
      </c>
    </row>
    <row r="547" spans="1:8" ht="14.45" customHeight="1" thickBot="1" x14ac:dyDescent="0.3">
      <c r="A547" s="67" t="str">
        <f t="shared" si="8"/>
        <v>Infiltration0.3Q2CFlatLindbergh</v>
      </c>
      <c r="B547" s="7" t="s">
        <v>78</v>
      </c>
      <c r="C547" s="7" t="s">
        <v>19</v>
      </c>
      <c r="D547" s="7" t="s">
        <v>55</v>
      </c>
      <c r="E547" s="8" t="s">
        <v>24</v>
      </c>
      <c r="F547" s="7" t="s">
        <v>71</v>
      </c>
      <c r="G547" s="7" t="s">
        <v>71</v>
      </c>
      <c r="H547" s="15" t="s">
        <v>71</v>
      </c>
    </row>
    <row r="548" spans="1:8" ht="14.45" customHeight="1" thickBot="1" x14ac:dyDescent="0.3">
      <c r="A548" s="67" t="str">
        <f t="shared" si="8"/>
        <v>Infiltration0.3Q2CModerateLindbergh</v>
      </c>
      <c r="B548" s="7" t="s">
        <v>78</v>
      </c>
      <c r="C548" s="7" t="s">
        <v>19</v>
      </c>
      <c r="D548" s="8" t="s">
        <v>16</v>
      </c>
      <c r="E548" s="8" t="s">
        <v>24</v>
      </c>
      <c r="F548" s="7" t="s">
        <v>71</v>
      </c>
      <c r="G548" s="7" t="s">
        <v>71</v>
      </c>
      <c r="H548" s="15" t="s">
        <v>71</v>
      </c>
    </row>
    <row r="549" spans="1:8" ht="14.45" customHeight="1" thickBot="1" x14ac:dyDescent="0.3">
      <c r="A549" s="67" t="str">
        <f t="shared" si="8"/>
        <v>Infiltration0.3Q2CSteepLindbergh</v>
      </c>
      <c r="B549" s="7" t="s">
        <v>78</v>
      </c>
      <c r="C549" s="7" t="s">
        <v>19</v>
      </c>
      <c r="D549" s="7" t="s">
        <v>17</v>
      </c>
      <c r="E549" s="8" t="s">
        <v>24</v>
      </c>
      <c r="F549" s="7" t="s">
        <v>71</v>
      </c>
      <c r="G549" s="7" t="s">
        <v>71</v>
      </c>
      <c r="H549" s="15" t="s">
        <v>71</v>
      </c>
    </row>
    <row r="550" spans="1:8" ht="14.45" customHeight="1" thickBot="1" x14ac:dyDescent="0.3">
      <c r="A550" s="67" t="str">
        <f t="shared" si="8"/>
        <v>Infiltration0.3Q2DFlatLindbergh</v>
      </c>
      <c r="B550" s="7" t="s">
        <v>78</v>
      </c>
      <c r="C550" s="7" t="s">
        <v>20</v>
      </c>
      <c r="D550" s="7" t="s">
        <v>55</v>
      </c>
      <c r="E550" s="8" t="s">
        <v>24</v>
      </c>
      <c r="F550" s="7" t="s">
        <v>71</v>
      </c>
      <c r="G550" s="7" t="s">
        <v>71</v>
      </c>
      <c r="H550" s="15" t="s">
        <v>71</v>
      </c>
    </row>
    <row r="551" spans="1:8" ht="14.45" customHeight="1" thickBot="1" x14ac:dyDescent="0.3">
      <c r="A551" s="67" t="str">
        <f t="shared" si="8"/>
        <v>Infiltration0.3Q2DModerateLindbergh</v>
      </c>
      <c r="B551" s="7" t="s">
        <v>78</v>
      </c>
      <c r="C551" s="7" t="s">
        <v>20</v>
      </c>
      <c r="D551" s="8" t="s">
        <v>16</v>
      </c>
      <c r="E551" s="8" t="s">
        <v>24</v>
      </c>
      <c r="F551" s="7" t="s">
        <v>71</v>
      </c>
      <c r="G551" s="7" t="s">
        <v>71</v>
      </c>
      <c r="H551" s="15" t="s">
        <v>71</v>
      </c>
    </row>
    <row r="552" spans="1:8" ht="14.45" customHeight="1" thickBot="1" x14ac:dyDescent="0.3">
      <c r="A552" s="67" t="str">
        <f t="shared" si="8"/>
        <v>Infiltration0.3Q2DSteepLindbergh</v>
      </c>
      <c r="B552" s="7" t="s">
        <v>78</v>
      </c>
      <c r="C552" s="7" t="s">
        <v>20</v>
      </c>
      <c r="D552" s="7" t="s">
        <v>17</v>
      </c>
      <c r="E552" s="8" t="s">
        <v>24</v>
      </c>
      <c r="F552" s="7" t="s">
        <v>71</v>
      </c>
      <c r="G552" s="7" t="s">
        <v>71</v>
      </c>
      <c r="H552" s="15" t="s">
        <v>71</v>
      </c>
    </row>
    <row r="553" spans="1:8" ht="14.45" customHeight="1" thickBot="1" x14ac:dyDescent="0.3">
      <c r="A553" s="67" t="str">
        <f t="shared" si="8"/>
        <v>Infiltration0.3Q2AFlatOceanside</v>
      </c>
      <c r="B553" s="7" t="s">
        <v>78</v>
      </c>
      <c r="C553" s="7" t="s">
        <v>13</v>
      </c>
      <c r="D553" s="7" t="s">
        <v>55</v>
      </c>
      <c r="E553" s="8" t="s">
        <v>23</v>
      </c>
      <c r="F553" s="7">
        <v>4.4999999999999998E-2</v>
      </c>
      <c r="G553" s="7">
        <v>0.11700000000000001</v>
      </c>
      <c r="H553" s="15" t="s">
        <v>71</v>
      </c>
    </row>
    <row r="554" spans="1:8" ht="14.45" customHeight="1" thickBot="1" x14ac:dyDescent="0.3">
      <c r="A554" s="67" t="str">
        <f t="shared" si="8"/>
        <v>Infiltration0.3Q2AModerateOceanside</v>
      </c>
      <c r="B554" s="7" t="s">
        <v>78</v>
      </c>
      <c r="C554" s="7" t="s">
        <v>13</v>
      </c>
      <c r="D554" s="8" t="s">
        <v>16</v>
      </c>
      <c r="E554" s="8" t="s">
        <v>23</v>
      </c>
      <c r="F554" s="7">
        <v>4.4999999999999998E-2</v>
      </c>
      <c r="G554" s="7">
        <v>0.11700000000000001</v>
      </c>
      <c r="H554" s="15" t="s">
        <v>71</v>
      </c>
    </row>
    <row r="555" spans="1:8" ht="14.45" customHeight="1" thickBot="1" x14ac:dyDescent="0.3">
      <c r="A555" s="67" t="str">
        <f t="shared" si="8"/>
        <v>Infiltration0.3Q2ASteepOceanside</v>
      </c>
      <c r="B555" s="7" t="s">
        <v>78</v>
      </c>
      <c r="C555" s="7" t="s">
        <v>13</v>
      </c>
      <c r="D555" s="7" t="s">
        <v>17</v>
      </c>
      <c r="E555" s="8" t="s">
        <v>23</v>
      </c>
      <c r="F555" s="7">
        <v>0.04</v>
      </c>
      <c r="G555" s="7">
        <v>0.104</v>
      </c>
      <c r="H555" s="15" t="s">
        <v>71</v>
      </c>
    </row>
    <row r="556" spans="1:8" ht="14.45" customHeight="1" thickBot="1" x14ac:dyDescent="0.3">
      <c r="A556" s="67" t="str">
        <f t="shared" si="8"/>
        <v>Infiltration0.3Q2BFlatOceanside</v>
      </c>
      <c r="B556" s="7" t="s">
        <v>78</v>
      </c>
      <c r="C556" s="7" t="s">
        <v>18</v>
      </c>
      <c r="D556" s="7" t="s">
        <v>55</v>
      </c>
      <c r="E556" s="8" t="s">
        <v>23</v>
      </c>
      <c r="F556" s="7">
        <v>6.5000000000000002E-2</v>
      </c>
      <c r="G556" s="7">
        <v>0.16900000000000001</v>
      </c>
      <c r="H556" s="15" t="s">
        <v>71</v>
      </c>
    </row>
    <row r="557" spans="1:8" ht="14.45" customHeight="1" thickBot="1" x14ac:dyDescent="0.3">
      <c r="A557" s="67" t="str">
        <f t="shared" si="8"/>
        <v>Infiltration0.3Q2BModerateOceanside</v>
      </c>
      <c r="B557" s="7" t="s">
        <v>78</v>
      </c>
      <c r="C557" s="7" t="s">
        <v>18</v>
      </c>
      <c r="D557" s="8" t="s">
        <v>16</v>
      </c>
      <c r="E557" s="8" t="s">
        <v>23</v>
      </c>
      <c r="F557" s="7">
        <v>6.5000000000000002E-2</v>
      </c>
      <c r="G557" s="7">
        <v>0.16900000000000001</v>
      </c>
      <c r="H557" s="15" t="s">
        <v>71</v>
      </c>
    </row>
    <row r="558" spans="1:8" ht="14.45" customHeight="1" thickBot="1" x14ac:dyDescent="0.3">
      <c r="A558" s="67" t="str">
        <f t="shared" si="8"/>
        <v>Infiltration0.3Q2BSteepOceanside</v>
      </c>
      <c r="B558" s="7" t="s">
        <v>78</v>
      </c>
      <c r="C558" s="7" t="s">
        <v>18</v>
      </c>
      <c r="D558" s="7" t="s">
        <v>17</v>
      </c>
      <c r="E558" s="8" t="s">
        <v>23</v>
      </c>
      <c r="F558" s="7">
        <v>0.06</v>
      </c>
      <c r="G558" s="7">
        <v>0.156</v>
      </c>
      <c r="H558" s="15" t="s">
        <v>71</v>
      </c>
    </row>
    <row r="559" spans="1:8" ht="14.45" customHeight="1" thickBot="1" x14ac:dyDescent="0.3">
      <c r="A559" s="67" t="str">
        <f t="shared" si="8"/>
        <v>Infiltration0.3Q2CFlatOceanside</v>
      </c>
      <c r="B559" s="7" t="s">
        <v>78</v>
      </c>
      <c r="C559" s="7" t="s">
        <v>19</v>
      </c>
      <c r="D559" s="7" t="s">
        <v>55</v>
      </c>
      <c r="E559" s="8" t="s">
        <v>23</v>
      </c>
      <c r="F559" s="7" t="s">
        <v>71</v>
      </c>
      <c r="G559" s="7" t="s">
        <v>71</v>
      </c>
      <c r="H559" s="15" t="s">
        <v>71</v>
      </c>
    </row>
    <row r="560" spans="1:8" ht="14.45" customHeight="1" thickBot="1" x14ac:dyDescent="0.3">
      <c r="A560" s="67" t="str">
        <f t="shared" si="8"/>
        <v>Infiltration0.3Q2CModerateOceanside</v>
      </c>
      <c r="B560" s="7" t="s">
        <v>78</v>
      </c>
      <c r="C560" s="7" t="s">
        <v>19</v>
      </c>
      <c r="D560" s="8" t="s">
        <v>16</v>
      </c>
      <c r="E560" s="8" t="s">
        <v>23</v>
      </c>
      <c r="F560" s="7" t="s">
        <v>71</v>
      </c>
      <c r="G560" s="7" t="s">
        <v>71</v>
      </c>
      <c r="H560" s="15" t="s">
        <v>71</v>
      </c>
    </row>
    <row r="561" spans="1:8" ht="14.45" customHeight="1" thickBot="1" x14ac:dyDescent="0.3">
      <c r="A561" s="67" t="str">
        <f t="shared" si="8"/>
        <v>Infiltration0.3Q2CSteepOceanside</v>
      </c>
      <c r="B561" s="7" t="s">
        <v>78</v>
      </c>
      <c r="C561" s="7" t="s">
        <v>19</v>
      </c>
      <c r="D561" s="7" t="s">
        <v>17</v>
      </c>
      <c r="E561" s="8" t="s">
        <v>23</v>
      </c>
      <c r="F561" s="7" t="s">
        <v>71</v>
      </c>
      <c r="G561" s="7" t="s">
        <v>71</v>
      </c>
      <c r="H561" s="15" t="s">
        <v>71</v>
      </c>
    </row>
    <row r="562" spans="1:8" ht="14.45" customHeight="1" thickBot="1" x14ac:dyDescent="0.3">
      <c r="A562" s="67" t="str">
        <f t="shared" si="8"/>
        <v>Infiltration0.3Q2DFlatOceanside</v>
      </c>
      <c r="B562" s="7" t="s">
        <v>78</v>
      </c>
      <c r="C562" s="7" t="s">
        <v>20</v>
      </c>
      <c r="D562" s="7" t="s">
        <v>55</v>
      </c>
      <c r="E562" s="8" t="s">
        <v>23</v>
      </c>
      <c r="F562" s="7" t="s">
        <v>71</v>
      </c>
      <c r="G562" s="7" t="s">
        <v>71</v>
      </c>
      <c r="H562" s="15" t="s">
        <v>71</v>
      </c>
    </row>
    <row r="563" spans="1:8" ht="14.45" customHeight="1" thickBot="1" x14ac:dyDescent="0.3">
      <c r="A563" s="67" t="str">
        <f t="shared" si="8"/>
        <v>Infiltration0.3Q2DModerateOceanside</v>
      </c>
      <c r="B563" s="7" t="s">
        <v>78</v>
      </c>
      <c r="C563" s="7" t="s">
        <v>20</v>
      </c>
      <c r="D563" s="8" t="s">
        <v>16</v>
      </c>
      <c r="E563" s="8" t="s">
        <v>23</v>
      </c>
      <c r="F563" s="7" t="s">
        <v>71</v>
      </c>
      <c r="G563" s="7" t="s">
        <v>71</v>
      </c>
      <c r="H563" s="15" t="s">
        <v>71</v>
      </c>
    </row>
    <row r="564" spans="1:8" ht="14.45" customHeight="1" thickBot="1" x14ac:dyDescent="0.3">
      <c r="A564" s="67" t="str">
        <f t="shared" si="8"/>
        <v>Infiltration0.3Q2DSteepOceanside</v>
      </c>
      <c r="B564" s="7" t="s">
        <v>78</v>
      </c>
      <c r="C564" s="7" t="s">
        <v>20</v>
      </c>
      <c r="D564" s="7" t="s">
        <v>17</v>
      </c>
      <c r="E564" s="8" t="s">
        <v>23</v>
      </c>
      <c r="F564" s="7" t="s">
        <v>71</v>
      </c>
      <c r="G564" s="7" t="s">
        <v>71</v>
      </c>
      <c r="H564" s="15" t="s">
        <v>71</v>
      </c>
    </row>
    <row r="565" spans="1:8" ht="14.45" customHeight="1" thickBot="1" x14ac:dyDescent="0.3">
      <c r="A565" s="67" t="str">
        <f t="shared" si="8"/>
        <v>Infiltration0.3Q2AFlatLake Wohlford</v>
      </c>
      <c r="B565" s="7" t="s">
        <v>78</v>
      </c>
      <c r="C565" s="7" t="s">
        <v>13</v>
      </c>
      <c r="D565" s="7" t="s">
        <v>55</v>
      </c>
      <c r="E565" s="7" t="s">
        <v>12</v>
      </c>
      <c r="F565" s="7">
        <v>0.05</v>
      </c>
      <c r="G565" s="7">
        <v>0.13</v>
      </c>
      <c r="H565" s="15" t="s">
        <v>71</v>
      </c>
    </row>
    <row r="566" spans="1:8" ht="14.45" customHeight="1" thickBot="1" x14ac:dyDescent="0.3">
      <c r="A566" s="67" t="str">
        <f t="shared" si="8"/>
        <v>Infiltration0.3Q2AModerateLake Wohlford</v>
      </c>
      <c r="B566" s="7" t="s">
        <v>78</v>
      </c>
      <c r="C566" s="7" t="s">
        <v>13</v>
      </c>
      <c r="D566" s="8" t="s">
        <v>16</v>
      </c>
      <c r="E566" s="7" t="s">
        <v>12</v>
      </c>
      <c r="F566" s="7">
        <v>0.05</v>
      </c>
      <c r="G566" s="7">
        <v>0.13</v>
      </c>
      <c r="H566" s="15" t="s">
        <v>71</v>
      </c>
    </row>
    <row r="567" spans="1:8" ht="14.45" customHeight="1" thickBot="1" x14ac:dyDescent="0.3">
      <c r="A567" s="67" t="str">
        <f t="shared" si="8"/>
        <v>Infiltration0.3Q2ASteepLake Wohlford</v>
      </c>
      <c r="B567" s="7" t="s">
        <v>78</v>
      </c>
      <c r="C567" s="7" t="s">
        <v>13</v>
      </c>
      <c r="D567" s="7" t="s">
        <v>17</v>
      </c>
      <c r="E567" s="7" t="s">
        <v>12</v>
      </c>
      <c r="F567" s="7">
        <v>0.04</v>
      </c>
      <c r="G567" s="7">
        <v>0.104</v>
      </c>
      <c r="H567" s="15" t="s">
        <v>71</v>
      </c>
    </row>
    <row r="568" spans="1:8" ht="14.45" customHeight="1" thickBot="1" x14ac:dyDescent="0.3">
      <c r="A568" s="67" t="str">
        <f t="shared" si="8"/>
        <v>Infiltration0.3Q2BFlatLake Wohlford</v>
      </c>
      <c r="B568" s="7" t="s">
        <v>78</v>
      </c>
      <c r="C568" s="7" t="s">
        <v>18</v>
      </c>
      <c r="D568" s="7" t="s">
        <v>55</v>
      </c>
      <c r="E568" s="7" t="s">
        <v>12</v>
      </c>
      <c r="F568" s="7">
        <v>7.8E-2</v>
      </c>
      <c r="G568" s="7">
        <v>0.20150000000000001</v>
      </c>
      <c r="H568" s="15" t="s">
        <v>71</v>
      </c>
    </row>
    <row r="569" spans="1:8" ht="14.45" customHeight="1" thickBot="1" x14ac:dyDescent="0.3">
      <c r="A569" s="67" t="str">
        <f t="shared" si="8"/>
        <v>Infiltration0.3Q2BModerateLake Wohlford</v>
      </c>
      <c r="B569" s="7" t="s">
        <v>78</v>
      </c>
      <c r="C569" s="7" t="s">
        <v>18</v>
      </c>
      <c r="D569" s="8" t="s">
        <v>16</v>
      </c>
      <c r="E569" s="7" t="s">
        <v>12</v>
      </c>
      <c r="F569" s="7">
        <v>7.4999999999999997E-2</v>
      </c>
      <c r="G569" s="7">
        <v>0.19500000000000001</v>
      </c>
      <c r="H569" s="15" t="s">
        <v>71</v>
      </c>
    </row>
    <row r="570" spans="1:8" ht="14.45" customHeight="1" thickBot="1" x14ac:dyDescent="0.3">
      <c r="A570" s="67" t="str">
        <f t="shared" ref="A570:A612" si="9">CONCATENATE(A$44,B570,C570,D570,E570)</f>
        <v>Infiltration0.3Q2BSteepLake Wohlford</v>
      </c>
      <c r="B570" s="7" t="s">
        <v>78</v>
      </c>
      <c r="C570" s="7" t="s">
        <v>18</v>
      </c>
      <c r="D570" s="7" t="s">
        <v>17</v>
      </c>
      <c r="E570" s="7" t="s">
        <v>12</v>
      </c>
      <c r="F570" s="7">
        <v>6.5000000000000002E-2</v>
      </c>
      <c r="G570" s="7">
        <v>0.16900000000000001</v>
      </c>
      <c r="H570" s="15" t="s">
        <v>71</v>
      </c>
    </row>
    <row r="571" spans="1:8" ht="14.45" customHeight="1" thickBot="1" x14ac:dyDescent="0.3">
      <c r="A571" s="67" t="str">
        <f t="shared" si="9"/>
        <v>Infiltration0.3Q2CFlatLake Wohlford</v>
      </c>
      <c r="B571" s="7" t="s">
        <v>78</v>
      </c>
      <c r="C571" s="7" t="s">
        <v>19</v>
      </c>
      <c r="D571" s="7" t="s">
        <v>55</v>
      </c>
      <c r="E571" s="7" t="s">
        <v>12</v>
      </c>
      <c r="F571" s="7" t="s">
        <v>71</v>
      </c>
      <c r="G571" s="7" t="s">
        <v>71</v>
      </c>
      <c r="H571" s="15" t="s">
        <v>71</v>
      </c>
    </row>
    <row r="572" spans="1:8" ht="14.45" customHeight="1" thickBot="1" x14ac:dyDescent="0.3">
      <c r="A572" s="67" t="str">
        <f t="shared" si="9"/>
        <v>Infiltration0.3Q2CModerateLake Wohlford</v>
      </c>
      <c r="B572" s="7" t="s">
        <v>78</v>
      </c>
      <c r="C572" s="7" t="s">
        <v>19</v>
      </c>
      <c r="D572" s="8" t="s">
        <v>16</v>
      </c>
      <c r="E572" s="7" t="s">
        <v>12</v>
      </c>
      <c r="F572" s="7" t="s">
        <v>71</v>
      </c>
      <c r="G572" s="7" t="s">
        <v>71</v>
      </c>
      <c r="H572" s="15" t="s">
        <v>71</v>
      </c>
    </row>
    <row r="573" spans="1:8" ht="14.45" customHeight="1" thickBot="1" x14ac:dyDescent="0.3">
      <c r="A573" s="67" t="str">
        <f t="shared" si="9"/>
        <v>Infiltration0.3Q2CSteepLake Wohlford</v>
      </c>
      <c r="B573" s="7" t="s">
        <v>78</v>
      </c>
      <c r="C573" s="7" t="s">
        <v>19</v>
      </c>
      <c r="D573" s="7" t="s">
        <v>17</v>
      </c>
      <c r="E573" s="7" t="s">
        <v>12</v>
      </c>
      <c r="F573" s="7" t="s">
        <v>71</v>
      </c>
      <c r="G573" s="7" t="s">
        <v>71</v>
      </c>
      <c r="H573" s="15" t="s">
        <v>71</v>
      </c>
    </row>
    <row r="574" spans="1:8" ht="14.45" customHeight="1" thickBot="1" x14ac:dyDescent="0.3">
      <c r="A574" s="67" t="str">
        <f t="shared" si="9"/>
        <v>Infiltration0.3Q2DFlatLake Wohlford</v>
      </c>
      <c r="B574" s="7" t="s">
        <v>78</v>
      </c>
      <c r="C574" s="7" t="s">
        <v>20</v>
      </c>
      <c r="D574" s="7" t="s">
        <v>55</v>
      </c>
      <c r="E574" s="7" t="s">
        <v>12</v>
      </c>
      <c r="F574" s="7" t="s">
        <v>71</v>
      </c>
      <c r="G574" s="7" t="s">
        <v>71</v>
      </c>
      <c r="H574" s="15" t="s">
        <v>71</v>
      </c>
    </row>
    <row r="575" spans="1:8" ht="14.45" customHeight="1" thickBot="1" x14ac:dyDescent="0.3">
      <c r="A575" s="67" t="str">
        <f t="shared" si="9"/>
        <v>Infiltration0.3Q2DModerateLake Wohlford</v>
      </c>
      <c r="B575" s="7" t="s">
        <v>78</v>
      </c>
      <c r="C575" s="7" t="s">
        <v>20</v>
      </c>
      <c r="D575" s="8" t="s">
        <v>16</v>
      </c>
      <c r="E575" s="7" t="s">
        <v>12</v>
      </c>
      <c r="F575" s="7" t="s">
        <v>71</v>
      </c>
      <c r="G575" s="7" t="s">
        <v>71</v>
      </c>
      <c r="H575" s="15" t="s">
        <v>71</v>
      </c>
    </row>
    <row r="576" spans="1:8" ht="14.45" customHeight="1" thickBot="1" x14ac:dyDescent="0.3">
      <c r="A576" s="67" t="str">
        <f t="shared" si="9"/>
        <v>Infiltration0.3Q2DSteepLake Wohlford</v>
      </c>
      <c r="B576" s="7" t="s">
        <v>78</v>
      </c>
      <c r="C576" s="7" t="s">
        <v>20</v>
      </c>
      <c r="D576" s="7" t="s">
        <v>17</v>
      </c>
      <c r="E576" s="7" t="s">
        <v>12</v>
      </c>
      <c r="F576" s="7" t="s">
        <v>71</v>
      </c>
      <c r="G576" s="7" t="s">
        <v>71</v>
      </c>
      <c r="H576" s="15" t="s">
        <v>71</v>
      </c>
    </row>
    <row r="577" spans="1:8" ht="14.45" customHeight="1" thickBot="1" x14ac:dyDescent="0.3">
      <c r="A577" s="67" t="str">
        <f t="shared" si="9"/>
        <v>Infiltration0.1Q2AFlatLindbergh</v>
      </c>
      <c r="B577" s="7" t="s">
        <v>79</v>
      </c>
      <c r="C577" s="7" t="s">
        <v>13</v>
      </c>
      <c r="D577" s="7" t="s">
        <v>55</v>
      </c>
      <c r="E577" s="8" t="s">
        <v>24</v>
      </c>
      <c r="F577" s="7">
        <v>0.04</v>
      </c>
      <c r="G577" s="7">
        <v>0.104</v>
      </c>
      <c r="H577" s="15" t="s">
        <v>71</v>
      </c>
    </row>
    <row r="578" spans="1:8" ht="14.45" customHeight="1" thickBot="1" x14ac:dyDescent="0.3">
      <c r="A578" s="67" t="str">
        <f t="shared" si="9"/>
        <v>Infiltration0.1Q2AModerateLindbergh</v>
      </c>
      <c r="B578" s="7" t="s">
        <v>79</v>
      </c>
      <c r="C578" s="7" t="s">
        <v>13</v>
      </c>
      <c r="D578" s="8" t="s">
        <v>16</v>
      </c>
      <c r="E578" s="8" t="s">
        <v>24</v>
      </c>
      <c r="F578" s="7">
        <v>0.04</v>
      </c>
      <c r="G578" s="7">
        <v>0.104</v>
      </c>
      <c r="H578" s="15" t="s">
        <v>71</v>
      </c>
    </row>
    <row r="579" spans="1:8" ht="14.45" customHeight="1" thickBot="1" x14ac:dyDescent="0.3">
      <c r="A579" s="67" t="str">
        <f t="shared" si="9"/>
        <v>Infiltration0.1Q2ASteepLindbergh</v>
      </c>
      <c r="B579" s="7" t="s">
        <v>79</v>
      </c>
      <c r="C579" s="7" t="s">
        <v>13</v>
      </c>
      <c r="D579" s="7" t="s">
        <v>17</v>
      </c>
      <c r="E579" s="8" t="s">
        <v>24</v>
      </c>
      <c r="F579" s="7">
        <v>3.5000000000000003E-2</v>
      </c>
      <c r="G579" s="7">
        <v>9.0999999999999998E-2</v>
      </c>
      <c r="H579" s="15" t="s">
        <v>71</v>
      </c>
    </row>
    <row r="580" spans="1:8" ht="14.45" customHeight="1" thickBot="1" x14ac:dyDescent="0.3">
      <c r="A580" s="67" t="str">
        <f t="shared" si="9"/>
        <v>Infiltration0.1Q2BFlatLindbergh</v>
      </c>
      <c r="B580" s="7" t="s">
        <v>79</v>
      </c>
      <c r="C580" s="7" t="s">
        <v>18</v>
      </c>
      <c r="D580" s="7" t="s">
        <v>55</v>
      </c>
      <c r="E580" s="8" t="s">
        <v>24</v>
      </c>
      <c r="F580" s="7">
        <v>5.8000000000000003E-2</v>
      </c>
      <c r="G580" s="7">
        <v>0.14949999999999999</v>
      </c>
      <c r="H580" s="15" t="s">
        <v>71</v>
      </c>
    </row>
    <row r="581" spans="1:8" ht="14.45" customHeight="1" thickBot="1" x14ac:dyDescent="0.3">
      <c r="A581" s="67" t="str">
        <f t="shared" si="9"/>
        <v>Infiltration0.1Q2BModerateLindbergh</v>
      </c>
      <c r="B581" s="7" t="s">
        <v>79</v>
      </c>
      <c r="C581" s="7" t="s">
        <v>18</v>
      </c>
      <c r="D581" s="8" t="s">
        <v>16</v>
      </c>
      <c r="E581" s="8" t="s">
        <v>24</v>
      </c>
      <c r="F581" s="7">
        <v>5.5E-2</v>
      </c>
      <c r="G581" s="7">
        <v>0.14299999999999999</v>
      </c>
      <c r="H581" s="15" t="s">
        <v>71</v>
      </c>
    </row>
    <row r="582" spans="1:8" ht="14.45" customHeight="1" thickBot="1" x14ac:dyDescent="0.3">
      <c r="A582" s="67" t="str">
        <f t="shared" si="9"/>
        <v>Infiltration0.1Q2BSteepLindbergh</v>
      </c>
      <c r="B582" s="7" t="s">
        <v>79</v>
      </c>
      <c r="C582" s="7" t="s">
        <v>18</v>
      </c>
      <c r="D582" s="7" t="s">
        <v>17</v>
      </c>
      <c r="E582" s="8" t="s">
        <v>24</v>
      </c>
      <c r="F582" s="7">
        <v>0.05</v>
      </c>
      <c r="G582" s="7">
        <v>0.13</v>
      </c>
      <c r="H582" s="15" t="s">
        <v>71</v>
      </c>
    </row>
    <row r="583" spans="1:8" ht="14.45" customHeight="1" thickBot="1" x14ac:dyDescent="0.3">
      <c r="A583" s="67" t="str">
        <f t="shared" si="9"/>
        <v>Infiltration0.1Q2CFlatLindbergh</v>
      </c>
      <c r="B583" s="7" t="s">
        <v>79</v>
      </c>
      <c r="C583" s="7" t="s">
        <v>19</v>
      </c>
      <c r="D583" s="7" t="s">
        <v>55</v>
      </c>
      <c r="E583" s="8" t="s">
        <v>24</v>
      </c>
      <c r="F583" s="7" t="s">
        <v>71</v>
      </c>
      <c r="G583" s="7" t="s">
        <v>71</v>
      </c>
      <c r="H583" s="15" t="s">
        <v>71</v>
      </c>
    </row>
    <row r="584" spans="1:8" ht="14.45" customHeight="1" thickBot="1" x14ac:dyDescent="0.3">
      <c r="A584" s="67" t="str">
        <f t="shared" si="9"/>
        <v>Infiltration0.1Q2CModerateLindbergh</v>
      </c>
      <c r="B584" s="7" t="s">
        <v>79</v>
      </c>
      <c r="C584" s="7" t="s">
        <v>19</v>
      </c>
      <c r="D584" s="8" t="s">
        <v>16</v>
      </c>
      <c r="E584" s="8" t="s">
        <v>24</v>
      </c>
      <c r="F584" s="7" t="s">
        <v>71</v>
      </c>
      <c r="G584" s="7" t="s">
        <v>71</v>
      </c>
      <c r="H584" s="15" t="s">
        <v>71</v>
      </c>
    </row>
    <row r="585" spans="1:8" ht="14.45" customHeight="1" thickBot="1" x14ac:dyDescent="0.3">
      <c r="A585" s="67" t="str">
        <f t="shared" si="9"/>
        <v>Infiltration0.1Q2CSteepLindbergh</v>
      </c>
      <c r="B585" s="7" t="s">
        <v>79</v>
      </c>
      <c r="C585" s="7" t="s">
        <v>19</v>
      </c>
      <c r="D585" s="7" t="s">
        <v>17</v>
      </c>
      <c r="E585" s="8" t="s">
        <v>24</v>
      </c>
      <c r="F585" s="7" t="s">
        <v>71</v>
      </c>
      <c r="G585" s="7" t="s">
        <v>71</v>
      </c>
      <c r="H585" s="15" t="s">
        <v>71</v>
      </c>
    </row>
    <row r="586" spans="1:8" ht="14.45" customHeight="1" thickBot="1" x14ac:dyDescent="0.3">
      <c r="A586" s="67" t="str">
        <f t="shared" si="9"/>
        <v>Infiltration0.1Q2DFlatLindbergh</v>
      </c>
      <c r="B586" s="7" t="s">
        <v>79</v>
      </c>
      <c r="C586" s="7" t="s">
        <v>20</v>
      </c>
      <c r="D586" s="7" t="s">
        <v>55</v>
      </c>
      <c r="E586" s="8" t="s">
        <v>24</v>
      </c>
      <c r="F586" s="7" t="s">
        <v>71</v>
      </c>
      <c r="G586" s="7" t="s">
        <v>71</v>
      </c>
      <c r="H586" s="15" t="s">
        <v>71</v>
      </c>
    </row>
    <row r="587" spans="1:8" ht="14.45" customHeight="1" thickBot="1" x14ac:dyDescent="0.3">
      <c r="A587" s="67" t="str">
        <f t="shared" si="9"/>
        <v>Infiltration0.1Q2DModerateLindbergh</v>
      </c>
      <c r="B587" s="7" t="s">
        <v>79</v>
      </c>
      <c r="C587" s="7" t="s">
        <v>20</v>
      </c>
      <c r="D587" s="8" t="s">
        <v>16</v>
      </c>
      <c r="E587" s="8" t="s">
        <v>24</v>
      </c>
      <c r="F587" s="7" t="s">
        <v>71</v>
      </c>
      <c r="G587" s="7" t="s">
        <v>71</v>
      </c>
      <c r="H587" s="15" t="s">
        <v>71</v>
      </c>
    </row>
    <row r="588" spans="1:8" ht="14.45" customHeight="1" thickBot="1" x14ac:dyDescent="0.3">
      <c r="A588" s="67" t="str">
        <f t="shared" si="9"/>
        <v>Infiltration0.1Q2DSteepLindbergh</v>
      </c>
      <c r="B588" s="7" t="s">
        <v>79</v>
      </c>
      <c r="C588" s="7" t="s">
        <v>20</v>
      </c>
      <c r="D588" s="7" t="s">
        <v>17</v>
      </c>
      <c r="E588" s="8" t="s">
        <v>24</v>
      </c>
      <c r="F588" s="7" t="s">
        <v>71</v>
      </c>
      <c r="G588" s="7" t="s">
        <v>71</v>
      </c>
      <c r="H588" s="15" t="s">
        <v>71</v>
      </c>
    </row>
    <row r="589" spans="1:8" ht="14.45" customHeight="1" thickBot="1" x14ac:dyDescent="0.3">
      <c r="A589" s="67" t="str">
        <f t="shared" si="9"/>
        <v>Infiltration0.1Q2AFlatOceanside</v>
      </c>
      <c r="B589" s="7" t="s">
        <v>79</v>
      </c>
      <c r="C589" s="7" t="s">
        <v>13</v>
      </c>
      <c r="D589" s="7" t="s">
        <v>55</v>
      </c>
      <c r="E589" s="8" t="s">
        <v>23</v>
      </c>
      <c r="F589" s="7">
        <v>4.4999999999999998E-2</v>
      </c>
      <c r="G589" s="7">
        <v>0.11700000000000001</v>
      </c>
      <c r="H589" s="15" t="s">
        <v>71</v>
      </c>
    </row>
    <row r="590" spans="1:8" ht="14.45" customHeight="1" thickBot="1" x14ac:dyDescent="0.3">
      <c r="A590" s="67" t="str">
        <f t="shared" si="9"/>
        <v>Infiltration0.1Q2AModerateOceanside</v>
      </c>
      <c r="B590" s="7" t="s">
        <v>79</v>
      </c>
      <c r="C590" s="7" t="s">
        <v>13</v>
      </c>
      <c r="D590" s="8" t="s">
        <v>16</v>
      </c>
      <c r="E590" s="8" t="s">
        <v>23</v>
      </c>
      <c r="F590" s="7">
        <v>4.4999999999999998E-2</v>
      </c>
      <c r="G590" s="7">
        <v>0.11700000000000001</v>
      </c>
      <c r="H590" s="15" t="s">
        <v>71</v>
      </c>
    </row>
    <row r="591" spans="1:8" ht="14.45" customHeight="1" thickBot="1" x14ac:dyDescent="0.3">
      <c r="A591" s="67" t="str">
        <f t="shared" si="9"/>
        <v>Infiltration0.1Q2ASteepOceanside</v>
      </c>
      <c r="B591" s="7" t="s">
        <v>79</v>
      </c>
      <c r="C591" s="7" t="s">
        <v>13</v>
      </c>
      <c r="D591" s="7" t="s">
        <v>17</v>
      </c>
      <c r="E591" s="8" t="s">
        <v>23</v>
      </c>
      <c r="F591" s="7">
        <v>0.04</v>
      </c>
      <c r="G591" s="7">
        <v>0.104</v>
      </c>
      <c r="H591" s="15" t="s">
        <v>71</v>
      </c>
    </row>
    <row r="592" spans="1:8" ht="14.45" customHeight="1" thickBot="1" x14ac:dyDescent="0.3">
      <c r="A592" s="67" t="str">
        <f t="shared" si="9"/>
        <v>Infiltration0.1Q2BFlatOceanside</v>
      </c>
      <c r="B592" s="7" t="s">
        <v>79</v>
      </c>
      <c r="C592" s="7" t="s">
        <v>18</v>
      </c>
      <c r="D592" s="7" t="s">
        <v>55</v>
      </c>
      <c r="E592" s="8" t="s">
        <v>23</v>
      </c>
      <c r="F592" s="7">
        <v>6.5000000000000002E-2</v>
      </c>
      <c r="G592" s="7">
        <v>0.16900000000000001</v>
      </c>
      <c r="H592" s="15" t="s">
        <v>71</v>
      </c>
    </row>
    <row r="593" spans="1:8" ht="14.45" customHeight="1" thickBot="1" x14ac:dyDescent="0.3">
      <c r="A593" s="67" t="str">
        <f t="shared" si="9"/>
        <v>Infiltration0.1Q2BModerateOceanside</v>
      </c>
      <c r="B593" s="7" t="s">
        <v>79</v>
      </c>
      <c r="C593" s="7" t="s">
        <v>18</v>
      </c>
      <c r="D593" s="8" t="s">
        <v>16</v>
      </c>
      <c r="E593" s="8" t="s">
        <v>23</v>
      </c>
      <c r="F593" s="7">
        <v>6.5000000000000002E-2</v>
      </c>
      <c r="G593" s="7">
        <v>0.16900000000000001</v>
      </c>
      <c r="H593" s="15" t="s">
        <v>71</v>
      </c>
    </row>
    <row r="594" spans="1:8" ht="14.45" customHeight="1" thickBot="1" x14ac:dyDescent="0.3">
      <c r="A594" s="67" t="str">
        <f t="shared" si="9"/>
        <v>Infiltration0.1Q2BSteepOceanside</v>
      </c>
      <c r="B594" s="7" t="s">
        <v>79</v>
      </c>
      <c r="C594" s="7" t="s">
        <v>18</v>
      </c>
      <c r="D594" s="7" t="s">
        <v>17</v>
      </c>
      <c r="E594" s="8" t="s">
        <v>23</v>
      </c>
      <c r="F594" s="7">
        <v>0.06</v>
      </c>
      <c r="G594" s="7">
        <v>0.156</v>
      </c>
      <c r="H594" s="15" t="s">
        <v>71</v>
      </c>
    </row>
    <row r="595" spans="1:8" ht="14.45" customHeight="1" thickBot="1" x14ac:dyDescent="0.3">
      <c r="A595" s="67" t="str">
        <f t="shared" si="9"/>
        <v>Infiltration0.1Q2CFlatOceanside</v>
      </c>
      <c r="B595" s="7" t="s">
        <v>79</v>
      </c>
      <c r="C595" s="7" t="s">
        <v>19</v>
      </c>
      <c r="D595" s="7" t="s">
        <v>55</v>
      </c>
      <c r="E595" s="8" t="s">
        <v>23</v>
      </c>
      <c r="F595" s="7" t="s">
        <v>71</v>
      </c>
      <c r="G595" s="7" t="s">
        <v>71</v>
      </c>
      <c r="H595" s="15" t="s">
        <v>71</v>
      </c>
    </row>
    <row r="596" spans="1:8" ht="14.45" customHeight="1" thickBot="1" x14ac:dyDescent="0.3">
      <c r="A596" s="67" t="str">
        <f t="shared" si="9"/>
        <v>Infiltration0.1Q2CModerateOceanside</v>
      </c>
      <c r="B596" s="7" t="s">
        <v>79</v>
      </c>
      <c r="C596" s="7" t="s">
        <v>19</v>
      </c>
      <c r="D596" s="8" t="s">
        <v>16</v>
      </c>
      <c r="E596" s="8" t="s">
        <v>23</v>
      </c>
      <c r="F596" s="7" t="s">
        <v>71</v>
      </c>
      <c r="G596" s="7" t="s">
        <v>71</v>
      </c>
      <c r="H596" s="15" t="s">
        <v>71</v>
      </c>
    </row>
    <row r="597" spans="1:8" ht="14.45" customHeight="1" thickBot="1" x14ac:dyDescent="0.3">
      <c r="A597" s="67" t="str">
        <f t="shared" si="9"/>
        <v>Infiltration0.1Q2CSteepOceanside</v>
      </c>
      <c r="B597" s="7" t="s">
        <v>79</v>
      </c>
      <c r="C597" s="7" t="s">
        <v>19</v>
      </c>
      <c r="D597" s="7" t="s">
        <v>17</v>
      </c>
      <c r="E597" s="8" t="s">
        <v>23</v>
      </c>
      <c r="F597" s="7" t="s">
        <v>71</v>
      </c>
      <c r="G597" s="7" t="s">
        <v>71</v>
      </c>
      <c r="H597" s="15" t="s">
        <v>71</v>
      </c>
    </row>
    <row r="598" spans="1:8" ht="14.45" customHeight="1" thickBot="1" x14ac:dyDescent="0.3">
      <c r="A598" s="67" t="str">
        <f t="shared" si="9"/>
        <v>Infiltration0.1Q2DFlatOceanside</v>
      </c>
      <c r="B598" s="7" t="s">
        <v>79</v>
      </c>
      <c r="C598" s="7" t="s">
        <v>20</v>
      </c>
      <c r="D598" s="7" t="s">
        <v>55</v>
      </c>
      <c r="E598" s="8" t="s">
        <v>23</v>
      </c>
      <c r="F598" s="7" t="s">
        <v>71</v>
      </c>
      <c r="G598" s="7" t="s">
        <v>71</v>
      </c>
      <c r="H598" s="15" t="s">
        <v>71</v>
      </c>
    </row>
    <row r="599" spans="1:8" ht="14.45" customHeight="1" thickBot="1" x14ac:dyDescent="0.3">
      <c r="A599" s="67" t="str">
        <f t="shared" si="9"/>
        <v>Infiltration0.1Q2DModerateOceanside</v>
      </c>
      <c r="B599" s="7" t="s">
        <v>79</v>
      </c>
      <c r="C599" s="7" t="s">
        <v>20</v>
      </c>
      <c r="D599" s="8" t="s">
        <v>16</v>
      </c>
      <c r="E599" s="8" t="s">
        <v>23</v>
      </c>
      <c r="F599" s="7" t="s">
        <v>71</v>
      </c>
      <c r="G599" s="7" t="s">
        <v>71</v>
      </c>
      <c r="H599" s="15" t="s">
        <v>71</v>
      </c>
    </row>
    <row r="600" spans="1:8" ht="14.45" customHeight="1" thickBot="1" x14ac:dyDescent="0.3">
      <c r="A600" s="67" t="str">
        <f t="shared" si="9"/>
        <v>Infiltration0.1Q2DSteepOceanside</v>
      </c>
      <c r="B600" s="7" t="s">
        <v>79</v>
      </c>
      <c r="C600" s="7" t="s">
        <v>20</v>
      </c>
      <c r="D600" s="7" t="s">
        <v>17</v>
      </c>
      <c r="E600" s="8" t="s">
        <v>23</v>
      </c>
      <c r="F600" s="7" t="s">
        <v>71</v>
      </c>
      <c r="G600" s="7" t="s">
        <v>71</v>
      </c>
      <c r="H600" s="15" t="s">
        <v>71</v>
      </c>
    </row>
    <row r="601" spans="1:8" ht="14.45" customHeight="1" thickBot="1" x14ac:dyDescent="0.3">
      <c r="A601" s="67" t="str">
        <f t="shared" si="9"/>
        <v>Infiltration0.1Q2AFlatLake Wohlford</v>
      </c>
      <c r="B601" s="7" t="s">
        <v>79</v>
      </c>
      <c r="C601" s="7" t="s">
        <v>13</v>
      </c>
      <c r="D601" s="7" t="s">
        <v>55</v>
      </c>
      <c r="E601" s="7" t="s">
        <v>12</v>
      </c>
      <c r="F601" s="7">
        <v>0.05</v>
      </c>
      <c r="G601" s="7">
        <v>0.13</v>
      </c>
      <c r="H601" s="15" t="s">
        <v>71</v>
      </c>
    </row>
    <row r="602" spans="1:8" ht="14.45" customHeight="1" thickBot="1" x14ac:dyDescent="0.3">
      <c r="A602" s="67" t="str">
        <f t="shared" si="9"/>
        <v>Infiltration0.1Q2AModerateLake Wohlford</v>
      </c>
      <c r="B602" s="7" t="s">
        <v>79</v>
      </c>
      <c r="C602" s="7" t="s">
        <v>13</v>
      </c>
      <c r="D602" s="8" t="s">
        <v>16</v>
      </c>
      <c r="E602" s="7" t="s">
        <v>12</v>
      </c>
      <c r="F602" s="7">
        <v>0.05</v>
      </c>
      <c r="G602" s="7">
        <v>0.13</v>
      </c>
      <c r="H602" s="15" t="s">
        <v>71</v>
      </c>
    </row>
    <row r="603" spans="1:8" ht="14.45" customHeight="1" thickBot="1" x14ac:dyDescent="0.3">
      <c r="A603" s="67" t="str">
        <f t="shared" si="9"/>
        <v>Infiltration0.1Q2ASteepLake Wohlford</v>
      </c>
      <c r="B603" s="7" t="s">
        <v>79</v>
      </c>
      <c r="C603" s="7" t="s">
        <v>13</v>
      </c>
      <c r="D603" s="7" t="s">
        <v>17</v>
      </c>
      <c r="E603" s="7" t="s">
        <v>12</v>
      </c>
      <c r="F603" s="7">
        <v>0.04</v>
      </c>
      <c r="G603" s="7">
        <v>0.104</v>
      </c>
      <c r="H603" s="15" t="s">
        <v>71</v>
      </c>
    </row>
    <row r="604" spans="1:8" ht="14.45" customHeight="1" thickBot="1" x14ac:dyDescent="0.3">
      <c r="A604" s="67" t="str">
        <f t="shared" si="9"/>
        <v>Infiltration0.1Q2BFlatLake Wohlford</v>
      </c>
      <c r="B604" s="7" t="s">
        <v>79</v>
      </c>
      <c r="C604" s="7" t="s">
        <v>18</v>
      </c>
      <c r="D604" s="7" t="s">
        <v>55</v>
      </c>
      <c r="E604" s="7" t="s">
        <v>12</v>
      </c>
      <c r="F604" s="7">
        <v>7.8E-2</v>
      </c>
      <c r="G604" s="7">
        <v>0.20150000000000001</v>
      </c>
      <c r="H604" s="15" t="s">
        <v>71</v>
      </c>
    </row>
    <row r="605" spans="1:8" ht="14.45" customHeight="1" thickBot="1" x14ac:dyDescent="0.3">
      <c r="A605" s="67" t="str">
        <f t="shared" si="9"/>
        <v>Infiltration0.1Q2BModerateLake Wohlford</v>
      </c>
      <c r="B605" s="7" t="s">
        <v>79</v>
      </c>
      <c r="C605" s="7" t="s">
        <v>18</v>
      </c>
      <c r="D605" s="8" t="s">
        <v>16</v>
      </c>
      <c r="E605" s="7" t="s">
        <v>12</v>
      </c>
      <c r="F605" s="7">
        <v>7.4999999999999997E-2</v>
      </c>
      <c r="G605" s="7">
        <v>0.19500000000000001</v>
      </c>
      <c r="H605" s="15" t="s">
        <v>71</v>
      </c>
    </row>
    <row r="606" spans="1:8" ht="14.45" customHeight="1" thickBot="1" x14ac:dyDescent="0.3">
      <c r="A606" s="67" t="str">
        <f t="shared" si="9"/>
        <v>Infiltration0.1Q2BSteepLake Wohlford</v>
      </c>
      <c r="B606" s="7" t="s">
        <v>79</v>
      </c>
      <c r="C606" s="7" t="s">
        <v>18</v>
      </c>
      <c r="D606" s="7" t="s">
        <v>17</v>
      </c>
      <c r="E606" s="7" t="s">
        <v>12</v>
      </c>
      <c r="F606" s="7">
        <v>6.5000000000000002E-2</v>
      </c>
      <c r="G606" s="7">
        <v>0.16900000000000001</v>
      </c>
      <c r="H606" s="15" t="s">
        <v>71</v>
      </c>
    </row>
    <row r="607" spans="1:8" ht="14.45" customHeight="1" thickBot="1" x14ac:dyDescent="0.3">
      <c r="A607" s="67" t="str">
        <f t="shared" si="9"/>
        <v>Infiltration0.1Q2CFlatLake Wohlford</v>
      </c>
      <c r="B607" s="7" t="s">
        <v>79</v>
      </c>
      <c r="C607" s="7" t="s">
        <v>19</v>
      </c>
      <c r="D607" s="7" t="s">
        <v>55</v>
      </c>
      <c r="E607" s="7" t="s">
        <v>12</v>
      </c>
      <c r="F607" s="7" t="s">
        <v>71</v>
      </c>
      <c r="G607" s="7" t="s">
        <v>71</v>
      </c>
      <c r="H607" s="15" t="s">
        <v>71</v>
      </c>
    </row>
    <row r="608" spans="1:8" ht="14.45" customHeight="1" thickBot="1" x14ac:dyDescent="0.3">
      <c r="A608" s="67" t="str">
        <f t="shared" si="9"/>
        <v>Infiltration0.1Q2CModerateLake Wohlford</v>
      </c>
      <c r="B608" s="7" t="s">
        <v>79</v>
      </c>
      <c r="C608" s="7" t="s">
        <v>19</v>
      </c>
      <c r="D608" s="8" t="s">
        <v>16</v>
      </c>
      <c r="E608" s="7" t="s">
        <v>12</v>
      </c>
      <c r="F608" s="7" t="s">
        <v>71</v>
      </c>
      <c r="G608" s="7" t="s">
        <v>71</v>
      </c>
      <c r="H608" s="15" t="s">
        <v>71</v>
      </c>
    </row>
    <row r="609" spans="1:8" ht="14.45" customHeight="1" thickBot="1" x14ac:dyDescent="0.3">
      <c r="A609" s="67" t="str">
        <f t="shared" si="9"/>
        <v>Infiltration0.1Q2CSteepLake Wohlford</v>
      </c>
      <c r="B609" s="7" t="s">
        <v>79</v>
      </c>
      <c r="C609" s="7" t="s">
        <v>19</v>
      </c>
      <c r="D609" s="7" t="s">
        <v>17</v>
      </c>
      <c r="E609" s="7" t="s">
        <v>12</v>
      </c>
      <c r="F609" s="7" t="s">
        <v>71</v>
      </c>
      <c r="G609" s="7" t="s">
        <v>71</v>
      </c>
      <c r="H609" s="15" t="s">
        <v>71</v>
      </c>
    </row>
    <row r="610" spans="1:8" ht="14.45" customHeight="1" thickBot="1" x14ac:dyDescent="0.3">
      <c r="A610" s="67" t="str">
        <f t="shared" si="9"/>
        <v>Infiltration0.1Q2DFlatLake Wohlford</v>
      </c>
      <c r="B610" s="7" t="s">
        <v>79</v>
      </c>
      <c r="C610" s="7" t="s">
        <v>20</v>
      </c>
      <c r="D610" s="7" t="s">
        <v>55</v>
      </c>
      <c r="E610" s="7" t="s">
        <v>12</v>
      </c>
      <c r="F610" s="7" t="s">
        <v>71</v>
      </c>
      <c r="G610" s="7" t="s">
        <v>71</v>
      </c>
      <c r="H610" s="15" t="s">
        <v>71</v>
      </c>
    </row>
    <row r="611" spans="1:8" ht="14.45" customHeight="1" thickBot="1" x14ac:dyDescent="0.3">
      <c r="A611" s="67" t="str">
        <f t="shared" si="9"/>
        <v>Infiltration0.1Q2DModerateLake Wohlford</v>
      </c>
      <c r="B611" s="7" t="s">
        <v>79</v>
      </c>
      <c r="C611" s="7" t="s">
        <v>20</v>
      </c>
      <c r="D611" s="8" t="s">
        <v>16</v>
      </c>
      <c r="E611" s="7" t="s">
        <v>12</v>
      </c>
      <c r="F611" s="7" t="s">
        <v>71</v>
      </c>
      <c r="G611" s="7" t="s">
        <v>71</v>
      </c>
      <c r="H611" s="15" t="s">
        <v>71</v>
      </c>
    </row>
    <row r="612" spans="1:8" ht="14.45" customHeight="1" thickBot="1" x14ac:dyDescent="0.3">
      <c r="A612" s="67" t="str">
        <f t="shared" si="9"/>
        <v>Infiltration0.1Q2DSteepLake Wohlford</v>
      </c>
      <c r="B612" s="7" t="s">
        <v>79</v>
      </c>
      <c r="C612" s="7" t="s">
        <v>20</v>
      </c>
      <c r="D612" s="7" t="s">
        <v>17</v>
      </c>
      <c r="E612" s="7" t="s">
        <v>12</v>
      </c>
      <c r="F612" s="7" t="s">
        <v>71</v>
      </c>
      <c r="G612" s="7" t="s">
        <v>71</v>
      </c>
      <c r="H612" s="15" t="s">
        <v>71</v>
      </c>
    </row>
    <row r="613" spans="1:8" ht="14.45" customHeight="1" x14ac:dyDescent="0.25"/>
    <row r="614" spans="1:8" ht="14.45" customHeight="1" x14ac:dyDescent="0.25"/>
  </sheetData>
  <sheetProtection password="C0CB" sheet="1" objects="1" scenarios="1" selectLockedCells="1"/>
  <mergeCells count="5">
    <mergeCell ref="B392:H392"/>
    <mergeCell ref="B503:H503"/>
    <mergeCell ref="B280:H280"/>
    <mergeCell ref="B57:H57"/>
    <mergeCell ref="B168:H16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Project Info</vt:lpstr>
      <vt:lpstr>BMP #1</vt:lpstr>
      <vt:lpstr>Orifice #1</vt:lpstr>
      <vt:lpstr>Rain Gauge Map</vt:lpstr>
      <vt:lpstr>Sizing Factors</vt:lpstr>
      <vt:lpstr>'Orifice #1'!_Toc300565356</vt:lpstr>
      <vt:lpstr>'BMP #1'!Print_Area</vt:lpstr>
      <vt:lpstr>'Orifice #1'!Print_Area</vt:lpstr>
      <vt:lpstr>'Project Info'!Print_Area</vt:lpstr>
    </vt:vector>
  </TitlesOfParts>
  <Company>County of San Diego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Stuart.Kuhn@sdcounty.ca.gov</dc:creator>
  <cp:lastModifiedBy>Stuart Kuhn</cp:lastModifiedBy>
  <cp:lastPrinted>2014-06-26T15:27:35Z</cp:lastPrinted>
  <dcterms:created xsi:type="dcterms:W3CDTF">2012-05-04T15:03:06Z</dcterms:created>
  <dcterms:modified xsi:type="dcterms:W3CDTF">2014-10-09T21:32:53Z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